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filit\Desktop\"/>
    </mc:Choice>
  </mc:AlternateContent>
  <xr:revisionPtr revIDLastSave="0" documentId="13_ncr:1_{AAEBA7B0-4009-44B6-BA37-4F1F1BF998AF}"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0730" windowHeight="1116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<sst xmlns="http://schemas.openxmlformats.org/spreadsheetml/2006/main" count="10684" uniqueCount="879">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</sst>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1" zoomScaleNormal="100" workbookViewId="0">
      <selection activeCell="AC24" sqref="AC24"/>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2</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1</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3</v>
      </c>
      <c r="Z6" s="135">
        <f ca="1">VLOOKUP($R6,$AI$6:$AR$9,9,FALSE)</f>
        <v>4</v>
      </c>
      <c r="AA6" s="96">
        <f ca="1">IF(SUM($AK$6:$AK$9)=12,MIN(ABS(BY5-BY6),ABS(BY6-BY7)),100)</f>
        <v>416625020600.02002</v>
      </c>
      <c r="AB6" s="123" t="str">
        <f ca="1">IF(AND(AA6&gt;=0,AA6&lt;90),VLOOKUP(Q6,$BU$6:$BV$9,2,0),"")</f>
        <v/>
      </c>
      <c r="AC6" s="95"/>
      <c r="AD6" s="96"/>
      <c r="AE6" s="476"/>
      <c r="AF6" s="488">
        <f ca="1">VLOOKUP($R6,$AI$6:$AR$9,10,FALSE)</f>
        <v>1250656243799.98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6</v>
      </c>
      <c r="AQ6" s="487">
        <f ca="1">AO6-AP6</f>
        <v>-5</v>
      </c>
      <c r="AR6" s="487">
        <f ca="1">IF(AK6=0,-($AW$14*VLOOKUP(AI6,Tabla3[[NombreEquipo]:[Rank]],3,FALSE)),AJ6*$AW$4+BA6+AQ6*$AW$11+AO6*$AW$12+AL6*$AW$13-($AW$14*VLOOKUP(AI6,Tabla3[[NombreEquipo]:[Rank]],3,FALSE)/100))</f>
        <v>781150499.99000001</v>
      </c>
      <c r="AS6" s="487">
        <f ca="1">AH6</f>
        <v>4</v>
      </c>
      <c r="AT6" s="487"/>
      <c r="AU6" s="487">
        <f ca="1">IFERROR(AR6-VLOOKUP(AI6,$AB$6:$AC$9,2,0),AR6)</f>
        <v>781150499.99000001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1</v>
      </c>
      <c r="BG6" s="515">
        <f t="array" aca="1" ref="BG6" ca="1">SUMIFS($K$4:$K$9,$I$4:$I$9,$AY6,$K$4:$K$9,"&lt;&gt;",$L$4:$L$9,"&lt;&gt;",$N$4:$N$9,BG5)+SUMIFS($L$4:$L$9,$I$4:$I$9,BG5,$K$4:$K$9,"&lt;&gt;",$L$4:$L$9,"&lt;&gt;",$N$4:$N$9,$AY6)</f>
        <v>0</v>
      </c>
      <c r="BH6" s="515">
        <f ca="1">RANK(BI6,BI6:BI9,1)</f>
        <v>1</v>
      </c>
      <c r="BI6" s="515">
        <f ca="1">SUM(IF(AND(AJ6=AJ7),BK6,0),IF(AND(AJ6=AJ8),BL6,0),IF(AND(AJ6=AJ9),BM6,0))</f>
        <v>0</v>
      </c>
      <c r="BJ6" s="515">
        <v>0</v>
      </c>
      <c r="BK6" s="515">
        <f ca="1">BE6-BD7</f>
        <v>-2</v>
      </c>
      <c r="BL6" s="515">
        <f ca="1">BF6-BD8</f>
        <v>-1</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781150499.99000001</v>
      </c>
      <c r="BX6" s="212" t="str">
        <f ca="1">VLOOKUP(Q6,$AH$6:$AI$9,2,0)</f>
        <v>Italia</v>
      </c>
      <c r="BY6" s="212">
        <f ca="1">VLOOKUP($BX6,$AI$6:$AR$9,10,FALSE)</f>
        <v>1250656243799.98</v>
      </c>
      <c r="CA6" s="212">
        <v>1</v>
      </c>
      <c r="CB6" s="212" t="str">
        <f ca="1">VLOOKUP(CA6,$AH$6:$AI$9,2,0)</f>
        <v>Italia</v>
      </c>
      <c r="CC6" s="212">
        <f ca="1">VLOOKUP(CB6,$AI$6:$AR$9,2,FALSE)</f>
        <v>9</v>
      </c>
      <c r="CD6" s="497">
        <f ca="1">IF(SUM($AK$6:$AK$9)=12,MIN(ABS(BY5-BY6),ABS(BY6-BY7)),100)</f>
        <v>416625020600.02002</v>
      </c>
      <c r="CE6" s="212">
        <f ca="1">VLOOKUP($CB6,$AI$6:$AR$9,9,FALSE)</f>
        <v>4</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2</v>
      </c>
      <c r="M7" s="27"/>
      <c r="N7" s="49" t="str">
        <f ca="1">A8</f>
        <v>Suiza</v>
      </c>
      <c r="O7" s="111">
        <f t="shared" si="1"/>
        <v>1</v>
      </c>
      <c r="P7" s="107"/>
      <c r="Q7" s="136">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6</v>
      </c>
      <c r="Y7" s="4">
        <f ca="1">VLOOKUP($R7,$AI$6:$AR$9,8,FALSE)</f>
        <v>4</v>
      </c>
      <c r="Z7" s="137">
        <f ca="1">VLOOKUP($R7,$AI$6:$AR$9,9,FALSE)</f>
        <v>2</v>
      </c>
      <c r="AA7" s="96">
        <f ca="1">IF(SUM($AK$6:$AK$9)=12,MIN(ABS(BY6-BY7),ABS(BY7-BY8)),100)</f>
        <v>416625020600.02002</v>
      </c>
      <c r="AB7" s="123" t="str">
        <f ca="1">IF(AND(AA7&gt;=0,AA7&lt;90),VLOOKUP(Q7,$BU$6:$BV$9,2,0),"")</f>
        <v/>
      </c>
      <c r="AC7" s="97"/>
      <c r="AD7" s="98"/>
      <c r="AE7" s="477"/>
      <c r="AF7" s="488">
        <f ca="1">VLOOKUP($R7,$AI$6:$AR$9,10,FALSE)</f>
        <v>834031223199.95996</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3</v>
      </c>
      <c r="AQ7" s="487">
        <f ca="1">AO7-AP7</f>
        <v>4</v>
      </c>
      <c r="AR7" s="498">
        <f ca="1">IF(AK7=0,-($AW$14*VLOOKUP(AI7,Tabla3[[NombreEquipo]:[Rank]],3,FALSE)),AJ7*$AW$4+BA7+AQ7*$AW$11+AO7*$AW$12+AL7*$AW$13-($AW$14*VLOOKUP(AI7,Tabla3[[NombreEquipo]:[Rank]],3,FALSE)/100))</f>
        <v>1250656243799.98</v>
      </c>
      <c r="AS7" s="487">
        <f ca="1">AH7</f>
        <v>1</v>
      </c>
      <c r="AT7" s="487"/>
      <c r="AU7" s="487">
        <f ca="1">IFERROR(AR7-VLOOKUP(AI7,$AB$6:$AC$9,2,0),AR7)</f>
        <v>1250656243799.98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3</v>
      </c>
      <c r="BH7" s="515">
        <f ca="1">RANK(BI7,BI6:BI9,1)</f>
        <v>1</v>
      </c>
      <c r="BI7" s="515">
        <f ca="1">SUM(IF(AND(AJ7=AJ8),BL7,0),IF(AND(AJ7=AJ9),BM7,0),IF(AND(AJ7=AJ6),BJ7,0))</f>
        <v>0</v>
      </c>
      <c r="BJ7" s="515">
        <f ca="1">BD7-BE6</f>
        <v>2</v>
      </c>
      <c r="BK7" s="515">
        <v>0</v>
      </c>
      <c r="BL7" s="515">
        <f ca="1">BF7-BE8</f>
        <v>1</v>
      </c>
      <c r="BM7" s="515">
        <f ca="1">BG7-BE9</f>
        <v>1</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1250656243799.98</v>
      </c>
      <c r="BX7" s="212" t="str">
        <f ca="1">VLOOKUP(Q7,$AH$6:$AI$9,2,0)</f>
        <v>Suiza</v>
      </c>
      <c r="BY7" s="212">
        <f ca="1">VLOOKUP($BX7,$AI$6:$AR$9,10,FALSE)</f>
        <v>834031223199.95996</v>
      </c>
      <c r="CA7" s="212">
        <v>2</v>
      </c>
      <c r="CB7" s="212" t="str">
        <f ca="1">VLOOKUP(CA7,$AH$6:$AI$9,2,0)</f>
        <v>Suiza</v>
      </c>
      <c r="CC7" s="212">
        <f ca="1">VLOOKUP(CB7,$AI$6:$AR$9,2,FALSE)</f>
        <v>6</v>
      </c>
      <c r="CD7" s="497">
        <f ca="1">IF(SUM($AK$6:$AK$9)=12,MIN(ABS(BY6-BY7),ABS(BY7-BY8)),100)</f>
        <v>416625020600.02002</v>
      </c>
      <c r="CE7" s="212">
        <f ca="1">VLOOKUP($CB7,$AI$6:$AR$9,9,FALSE)</f>
        <v>2</v>
      </c>
      <c r="CF7" s="212">
        <f ca="1">VLOOKUP($CB7,$AI$6:$AR$9,7,FALSE)</f>
        <v>6</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2</v>
      </c>
      <c r="L8" s="25">
        <v>1</v>
      </c>
      <c r="M8" s="26"/>
      <c r="N8" s="49" t="str">
        <f ca="1">A7</f>
        <v>Gales</v>
      </c>
      <c r="O8" s="111">
        <f t="shared" si="1"/>
        <v>1</v>
      </c>
      <c r="P8" s="107"/>
      <c r="Q8" s="136">
        <v>3</v>
      </c>
      <c r="R8" s="5" t="str">
        <f ca="1">VLOOKUP(Q8,$AG$6:$AI$9,3,0)</f>
        <v>Gales</v>
      </c>
      <c r="S8" s="4">
        <f ca="1">VLOOKUP(R8,$AI$6:$AR$9,2,FALSE)</f>
        <v>3</v>
      </c>
      <c r="T8" s="4">
        <f ca="1">VLOOKUP($R8,$AI$6:$AR$9,3,FALSE)</f>
        <v>3</v>
      </c>
      <c r="U8" s="4">
        <f ca="1">VLOOKUP($R8,$AI$6:$AR$9,4,FALSE)</f>
        <v>1</v>
      </c>
      <c r="V8" s="4">
        <f ca="1">VLOOKUP($R8,$AI$6:$AR$9,5,FALSE)</f>
        <v>0</v>
      </c>
      <c r="W8" s="4">
        <f ca="1">VLOOKUP($R8,$AI$6:$AR$9,6,FALSE)</f>
        <v>2</v>
      </c>
      <c r="X8" s="4">
        <f ca="1">VLOOKUP($R8,$AI$6:$AR$9,7,FALSE)</f>
        <v>4</v>
      </c>
      <c r="Y8" s="4">
        <f ca="1">VLOOKUP($R8,$AI$6:$AR$9,8,FALSE)</f>
        <v>5</v>
      </c>
      <c r="Z8" s="137">
        <f ca="1">VLOOKUP($R8,$AI$6:$AR$9,9,FALSE)</f>
        <v>-1</v>
      </c>
      <c r="AA8" s="96">
        <f ca="1">IF(SUM($AK$6:$AK$9)=12,MIN(ABS(BY7-BY8),ABS(BY8-BY9)),100)</f>
        <v>416625031099.98999</v>
      </c>
      <c r="AB8" s="123" t="str">
        <f ca="1">IF(AND(AA8&gt;=0,AA8&lt;90),VLOOKUP(Q8,$BU$6:$BV$9,2,0),"")</f>
        <v/>
      </c>
      <c r="AC8" s="97"/>
      <c r="AD8" s="98"/>
      <c r="AE8" s="477"/>
      <c r="AF8" s="488">
        <f ca="1">VLOOKUP($R8,$AI$6:$AR$9,10,FALSE)</f>
        <v>417406192099.96997</v>
      </c>
      <c r="AG8" s="487">
        <f ca="1">RANK(AU8,$AU$6:$AU$9)</f>
        <v>3</v>
      </c>
      <c r="AH8" s="487">
        <f ca="1">RANK(AR8,$AR$6:$AR$9)</f>
        <v>3</v>
      </c>
      <c r="AI8" s="212" t="str">
        <f ca="1">A7</f>
        <v>Gales</v>
      </c>
      <c r="AJ8" s="487">
        <f ca="1">AL8*3+AM8*1+AN8*0</f>
        <v>3</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0</v>
      </c>
      <c r="AN8" s="487">
        <f t="array" aca="1" ref="AN8" ca="1">SUM(($I$4:$I$49=AI8)*($L$4:$L$49&lt;&gt;"")*($K$4:$K$49&lt;&gt;"")*($K$4:$K$49&lt;$L$4:$L$49),($K$4:$K$49&lt;&gt;"")*($N$4:$N$49=AI8)*($L$4:$L$49&lt;&gt;"")*($K$4:$K$49&gt;$L$4:$L$49))</f>
        <v>2</v>
      </c>
      <c r="AO8" s="487">
        <f t="array" aca="1" ref="AO8" ca="1">SUMIFS($K$4:$K$49,$I$4:$I$49,AI8,$K$4:$K$49,"&lt;&gt;",$L$4:$L$49,"&lt;&gt;")+SUMIFS($L$4:$L$49,$N$4:$N$49,AI8,$K$4:$K$49,"&lt;&gt;",$L$4:$L$49,"&lt;&gt;")</f>
        <v>4</v>
      </c>
      <c r="AP8" s="487">
        <f t="array" aca="1" ref="AP8" ca="1">SUMIFS($K$4:$K$49,$N$4:$N$49,AI8,$K$4:$K$49,"&lt;&gt;",$L$4:$L$49,"&lt;&gt;")+SUMIFS($L$4:$L$49,$I$4:$I$49,AI8,$K$4:$K$49,"&lt;&gt;",$L$4:$L$49,"&lt;&gt;")</f>
        <v>5</v>
      </c>
      <c r="AQ8" s="487">
        <f ca="1">AO8-AP8</f>
        <v>-1</v>
      </c>
      <c r="AR8" s="487">
        <f ca="1">IF(AK8=0,-($AW$14*VLOOKUP(AI8,Tabla3[[NombreEquipo]:[Rank]],3,FALSE)),AJ8*$AW$4+BA8+AQ8*$AW$11+AO8*$AW$12+AL8*$AW$13-($AW$14*VLOOKUP(AI8,Tabla3[[NombreEquipo]:[Rank]],3,FALSE)/100))</f>
        <v>417406192099.96997</v>
      </c>
      <c r="AS8" s="487">
        <f ca="1">AH8</f>
        <v>3</v>
      </c>
      <c r="AT8" s="487"/>
      <c r="AU8" s="487">
        <f ca="1">IFERROR(AR8-VLOOKUP(AI8,$AB$6:$AC$9,2,0),AR8)</f>
        <v>417406192099.96997</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2</v>
      </c>
      <c r="BE8" s="515">
        <f t="array" aca="1" ref="BE8" ca="1">SUMIFS($K$4:$K$9,$I$4:$I$9,$AY8,$K$4:$K$9,"&lt;&gt;",$L$4:$L$9,"&lt;&gt;",$N$4:$N$9,BE5)+SUMIFS($L$4:$L$9,$I$4:$I$9,BE5,$K$4:$K$9,"&lt;&gt;",$L$4:$L$9,"&lt;&gt;",$N$4:$N$9,$AY8)</f>
        <v>1</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1</v>
      </c>
      <c r="BK8" s="515">
        <f ca="1">BE8-BF7</f>
        <v>-1</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3</v>
      </c>
      <c r="BV8" s="212" t="str">
        <f ca="1">A7</f>
        <v>Gales</v>
      </c>
      <c r="BW8" s="212">
        <f ca="1">IF(AK8=0,-($AW$14*VLOOKUP(AI8,Tabla3[[NombreEquipo]:[Rank]],3,FALSE)),AJ8*$AW$4+BA8+AQ8*$AW$11+AO8*$AW$12+AL8*$AW$13-($AW$14*VLOOKUP(AI8,Tabla3[[NombreEquipo]:[Rank]],3,FALSE)/100))</f>
        <v>417406192099.96997</v>
      </c>
      <c r="BX8" s="212" t="str">
        <f ca="1">VLOOKUP(Q8,$AH$6:$AI$9,2,0)</f>
        <v>Gales</v>
      </c>
      <c r="BY8" s="212">
        <f ca="1">VLOOKUP($BX8,$AI$6:$AR$9,10,FALSE)</f>
        <v>417406192099.96997</v>
      </c>
      <c r="CA8" s="212">
        <v>3</v>
      </c>
      <c r="CB8" s="212" t="str">
        <f ca="1">VLOOKUP(CA8,$AH$6:$AI$9,2,0)</f>
        <v>Gales</v>
      </c>
      <c r="CC8" s="212">
        <f ca="1">VLOOKUP(CB8,$AI$6:$AR$9,2,FALSE)</f>
        <v>3</v>
      </c>
      <c r="CD8" s="497">
        <f ca="1">IF(SUM($AK$6:$AK$9)=12,MIN(ABS(BY7-BY8),ABS(BY8-BY9)),100)</f>
        <v>416625031099.98999</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2</v>
      </c>
      <c r="L9" s="54">
        <v>0</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6</v>
      </c>
      <c r="Z9" s="141">
        <f ca="1">VLOOKUP($R9,$AI$6:$AR$9,9,FALSE)</f>
        <v>-5</v>
      </c>
      <c r="AA9" s="96">
        <f ca="1">IF(SUM($AK$6:$AK$9)=12,MIN(ABS(BY8-BY9),ABS(BY9-BY10)),100)</f>
        <v>781150499.99000001</v>
      </c>
      <c r="AB9" s="123" t="str">
        <f ca="1">IF(AND(AA9&gt;=0,AA9&lt;90),VLOOKUP(Q9,$BU$6:$BV$9,2,0),"")</f>
        <v/>
      </c>
      <c r="AC9" s="95"/>
      <c r="AD9" s="96"/>
      <c r="AE9" s="476"/>
      <c r="AF9" s="488">
        <f ca="1">VLOOKUP($R9,$AI$6:$AR$9,10,FALSE)</f>
        <v>781150499.99000001</v>
      </c>
      <c r="AG9" s="487">
        <f ca="1">RANK(AU9,$AU$6:$AU$9)</f>
        <v>2</v>
      </c>
      <c r="AH9" s="487">
        <f ca="1">RANK(AR9,$AR$6:$AR$9)</f>
        <v>2</v>
      </c>
      <c r="AI9" s="212" t="str">
        <f ca="1">A8</f>
        <v>Suiza</v>
      </c>
      <c r="AJ9" s="487">
        <f ca="1">AL9*3+AM9*1+AN9*0</f>
        <v>6</v>
      </c>
      <c r="AK9" s="487">
        <f ca="1">COUNTIFS($I$4:$I$49,AI9,$K$4:$K$49,"&lt;&gt;",$L$4:$L$49,"&lt;&gt;")+COUNTIFS($N$4:$N$49,AI9,$L$4:$L$49,"&lt;&gt;",$K$4:$K$49,"&lt;&gt;")</f>
        <v>3</v>
      </c>
      <c r="AL9" s="487">
        <f t="array" aca="1" ref="AL9" ca="1">SUM(($I$4:$I$49=AI9)*($K$4:$K$49&lt;&gt;"")*($L$4:$L$49&lt;&gt;"")*($K$4:$K$49&gt;$L$4:$L$49),($N$4:$N$49=AI9)*($K$4:$K$49&lt;&gt;"")*($L$4:$L$49&lt;&gt;"")*($K$4:$K$49&lt;$L$4:$L$49))</f>
        <v>2</v>
      </c>
      <c r="AM9" s="487">
        <f t="array" aca="1" ref="AM9" ca="1">SUM(($I$4:$I$49=AI9)*($K$4:$K$49&lt;&gt;"")*($L$4:$L$49&lt;&gt;"")*($K$4:$K$49=$L$4:$L$49),($N$4:$N$49=AI9)*($K$4:$K$49&lt;&gt;"")*($L$4:$L$49&lt;&gt;"")*($K$4:$K$49=$L$4:$L$49))</f>
        <v>0</v>
      </c>
      <c r="AN9" s="487">
        <f t="array" aca="1" ref="AN9" ca="1">SUM(($I$4:$I$49=AI9)*($L$4:$L$49&lt;&gt;"")*($K$4:$K$49&lt;&gt;"")*($K$4:$K$49&lt;$L$4:$L$49),($K$4:$K$49&lt;&gt;"")*($N$4:$N$49=AI9)*($L$4:$L$49&lt;&gt;"")*($K$4:$K$49&gt;$L$4:$L$49))</f>
        <v>1</v>
      </c>
      <c r="AO9" s="487">
        <f t="array" aca="1" ref="AO9" ca="1">SUMIFS($K$4:$K$49,$I$4:$I$49,AI9,$K$4:$K$49,"&lt;&gt;",$L$4:$L$49,"&lt;&gt;")+SUMIFS($L$4:$L$49,$N$4:$N$49,AI9,$K$4:$K$49,"&lt;&gt;",$L$4:$L$49,"&lt;&gt;")</f>
        <v>6</v>
      </c>
      <c r="AP9" s="487">
        <f t="array" aca="1" ref="AP9" ca="1">SUMIFS($K$4:$K$49,$N$4:$N$49,AI9,$K$4:$K$49,"&lt;&gt;",$L$4:$L$49,"&lt;&gt;")+SUMIFS($L$4:$L$49,$I$4:$I$49,AI9,$K$4:$K$49,"&lt;&gt;",$L$4:$L$49,"&lt;&gt;")</f>
        <v>4</v>
      </c>
      <c r="AQ9" s="487">
        <f ca="1">AO9-AP9</f>
        <v>2</v>
      </c>
      <c r="AR9" s="487">
        <f ca="1">IF(AK9=0,-($AW$14*VLOOKUP(AI9,Tabla3[[NombreEquipo]:[Rank]],3,FALSE)),AJ9*$AW$4+BA9+AQ9*$AW$11+AO9*$AW$12+AL9*$AW$13-($AW$14*VLOOKUP(AI9,Tabla3[[NombreEquipo]:[Rank]],3,FALSE)/100))</f>
        <v>834031223199.95996</v>
      </c>
      <c r="AS9" s="487">
        <f ca="1">AH9</f>
        <v>2</v>
      </c>
      <c r="AT9" s="487"/>
      <c r="AU9" s="487">
        <f ca="1">IFERROR(AR9-VLOOKUP(AI9,$AB$6:$AC$9,2,0),AR9)</f>
        <v>834031223199.95996</v>
      </c>
      <c r="AV9" s="489" t="s">
        <v>876</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2</v>
      </c>
      <c r="BE9" s="515">
        <f t="array" aca="1" ref="BE9" ca="1">SUMIFS($K$4:$K$9,$I$4:$I$9,$AY9,$K$4:$K$9,"&lt;&gt;",$L$4:$L$9,"&lt;&gt;",$N$4:$N$9,BE5)+SUMIFS($L$4:$L$9,$I$4:$I$9,BE5,$K$4:$K$9,"&lt;&gt;",$L$4:$L$9,"&lt;&gt;",$N$4:$N$9,$AY9)</f>
        <v>2</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2</v>
      </c>
      <c r="BK9" s="515">
        <f ca="1">BE9-BG7</f>
        <v>-1</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2</v>
      </c>
      <c r="BV9" s="212" t="str">
        <f ca="1">A8</f>
        <v>Suiza</v>
      </c>
      <c r="BW9" s="212">
        <f ca="1">IF(AK9=0,-($AW$14*VLOOKUP(AI9,Tabla3[[NombreEquipo]:[Rank]],3,FALSE)),AJ9*$AW$4+BA9+AQ9*$AW$11+AO9*$AW$12+AL9*$AW$13-($AW$14*VLOOKUP(AI9,Tabla3[[NombreEquipo]:[Rank]],3,FALSE)/100))</f>
        <v>834031223199.95996</v>
      </c>
      <c r="BX9" s="212" t="str">
        <f ca="1">VLOOKUP(Q9,$AH$6:$AI$9,2,0)</f>
        <v>Turquia</v>
      </c>
      <c r="BY9" s="212">
        <f ca="1">VLOOKUP($BX9,$AI$6:$AR$9,10,FALSE)</f>
        <v>781150499.99000001</v>
      </c>
      <c r="CA9" s="212">
        <v>4</v>
      </c>
      <c r="CB9" s="212" t="str">
        <f ca="1">VLOOKUP(CA9,$AH$6:$AI$9,2,0)</f>
        <v>Turquia</v>
      </c>
      <c r="CC9" s="212">
        <f ca="1">VLOOKUP(CB9,$AI$6:$AR$9,2,FALSE)</f>
        <v>0</v>
      </c>
      <c r="CD9" s="497">
        <f ca="1">IF(SUM($AK$6:$AK$9)=12,MIN(ABS(BY8-BY9),ABS(BY9-BY10)),100)</f>
        <v>781150499.99000001</v>
      </c>
      <c r="CE9" s="212">
        <f ca="1">VLOOKUP($CB9,$AI$6:$AR$9,9,FALSE)</f>
        <v>-5</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1</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1</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1</v>
      </c>
      <c r="L14" s="32">
        <v>2</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8</v>
      </c>
      <c r="Y14" s="158">
        <f ca="1">VLOOKUP($R14,$AI$14:$AR$17,8,FALSE)</f>
        <v>2</v>
      </c>
      <c r="Z14" s="159">
        <f ca="1">VLOOKUP($R14,$AI$14:$AR$17,9,FALSE)</f>
        <v>6</v>
      </c>
      <c r="AA14" s="96">
        <f ca="1">IF(SUM($AK$14:$AK$17)=12,MIN(ABS(BY13-BY14),ABS(BY14-BY15)),100)</f>
        <v>416625062100.00989</v>
      </c>
      <c r="AB14" s="123" t="str">
        <f ca="1">IF(AND(AA14&gt;=0,AA14&lt;90),VLOOKUP(Q14,$BU$14:$BV$17,2,0),"")</f>
        <v/>
      </c>
      <c r="AC14" s="95"/>
      <c r="AD14" s="96"/>
      <c r="AE14" s="476"/>
      <c r="AF14" s="488">
        <f ca="1">VLOOKUP($R14,$AI$14:$AR$17,10,FALSE)</f>
        <v>1250656264299.9299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2</v>
      </c>
      <c r="AP14" s="487">
        <f t="array" aca="1" ref="AP14" ca="1">SUMIFS($K$4:$K$49,$N$4:$N$49,AI14,$K$4:$K$49,"&lt;&gt;",$L$4:$L$49,"&lt;&gt;")+SUMIFS($L$4:$L$49,$I$4:$I$49,AI14,$K$4:$K$49,"&lt;&gt;",$L$4:$L$49,"&lt;&gt;")</f>
        <v>4</v>
      </c>
      <c r="AQ14" s="487">
        <f ca="1">AO14-AP14</f>
        <v>-2</v>
      </c>
      <c r="AR14" s="487">
        <f ca="1">IF(AK14=0,-($AW$14*VLOOKUP(AI14,Tabla3[[NombreEquipo]:[Rank]],3,FALSE)),AJ14*$AW$4+BA14+AQ14*$AW$11+AO14*$AW$12+AL14*$AW$13-($AW$14*VLOOKUP(AI14,Tabla3[[NombreEquipo]:[Rank]],3,FALSE)/100))</f>
        <v>417406181099.95001</v>
      </c>
      <c r="AS14" s="487">
        <f ca="1">AH14</f>
        <v>3</v>
      </c>
      <c r="AT14" s="487"/>
      <c r="AU14" s="487">
        <f ca="1">IFERROR(AR14-VLOOKUP(AI14,$AB$14:$AC$17,2,0),AR14)</f>
        <v>417406181099.95001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1</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0</v>
      </c>
      <c r="BH14" s="515">
        <f ca="1">RANK(BI14,BI14:BI17,1)</f>
        <v>1</v>
      </c>
      <c r="BI14" s="515">
        <f ca="1">SUM(IF(AND(AJ14=AJ15),BK14,0),IF(AND(AJ14=AJ16),BL14,0),IF(AND(AJ14=AJ17),BM14,0))</f>
        <v>0</v>
      </c>
      <c r="BJ14" s="515">
        <v>0</v>
      </c>
      <c r="BK14" s="515">
        <f ca="1">BE14-BD15</f>
        <v>1</v>
      </c>
      <c r="BL14" s="515">
        <f ca="1">BF14-BD16</f>
        <v>-2</v>
      </c>
      <c r="BM14" s="515">
        <f ca="1">BG14-BD17</f>
        <v>-1</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417406181099.95001</v>
      </c>
      <c r="BX14" s="212" t="str">
        <f ca="1">VLOOKUP(Q14,$AH$14:$AI$17,2,0)</f>
        <v>Bélgica</v>
      </c>
      <c r="BY14" s="212">
        <f ca="1">VLOOKUP($BX14,$AI$14:$AR$17,10,FALSE)</f>
        <v>1250656264299.9299</v>
      </c>
      <c r="CA14" s="212">
        <v>1</v>
      </c>
      <c r="CB14" s="212" t="str">
        <f ca="1">VLOOKUP(CA14,$AH$14:$AI$17,2,0)</f>
        <v>Bélgica</v>
      </c>
      <c r="CC14" s="212">
        <f ca="1">VLOOKUP(CB14,$AI$14:$AR$17,2,FALSE)</f>
        <v>9</v>
      </c>
      <c r="CD14" s="497">
        <f ca="1">IF(SUM($AK$14:$AK$17)=12,MIN(ABS(BY13-BY14),ABS(BY14-BY15)),100)</f>
        <v>416625062100.00989</v>
      </c>
      <c r="CE14" s="212">
        <f ca="1">VLOOKUP($CB14,$AI$14:$AR$17,9,FALSE)</f>
        <v>6</v>
      </c>
      <c r="CF14" s="212">
        <f ca="1">VLOOKUP($CB14,$AI$14:$AR$17,7,FALSE)</f>
        <v>8</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3</v>
      </c>
      <c r="M15" s="41"/>
      <c r="N15" s="64" t="str">
        <f ca="1">A15</f>
        <v>Bélgica</v>
      </c>
      <c r="O15" s="111">
        <f t="shared" si="5"/>
        <v>1</v>
      </c>
      <c r="P15" s="107"/>
      <c r="Q15" s="160">
        <v>2</v>
      </c>
      <c r="R15" s="5" t="str">
        <f ca="1">VLOOKUP(Q15,$AG$14:$AI$17,3,0)</f>
        <v>Rusia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4</v>
      </c>
      <c r="Y15" s="4">
        <f ca="1">VLOOKUP($R15,$AI$14:$AR$17,8,FALSE)</f>
        <v>4</v>
      </c>
      <c r="Z15" s="161">
        <f ca="1">VLOOKUP($R15,$AI$14:$AR$17,9,FALSE)</f>
        <v>0</v>
      </c>
      <c r="AA15" s="96">
        <f ca="1">IF(SUM($AK$14:$AK$17)=12,MIN(ABS(BY14-BY15),ABS(BY15-BY16)),100)</f>
        <v>416625021099.97003</v>
      </c>
      <c r="AB15" s="123" t="str">
        <f ca="1">IF(AND(AA15&gt;=0,AA15&lt;90),VLOOKUP(Q15,$BU$14:$BV$17,2,0),"")</f>
        <v/>
      </c>
      <c r="AC15" s="97"/>
      <c r="AD15" s="98"/>
      <c r="AE15" s="477"/>
      <c r="AF15" s="488">
        <f ca="1">VLOOKUP($R15,$AI$14:$AR$17,10,FALSE)</f>
        <v>834031202199.92004</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1</v>
      </c>
      <c r="AP15" s="487">
        <f t="array" aca="1" ref="AP15" ca="1">SUMIFS($K$4:$K$49,$N$4:$N$49,AI15,$K$4:$K$49,"&lt;&gt;",$L$4:$L$49,"&lt;&gt;")+SUMIFS($L$4:$L$49,$I$4:$I$49,AI15,$K$4:$K$49,"&lt;&gt;",$L$4:$L$49,"&lt;&gt;")</f>
        <v>5</v>
      </c>
      <c r="AQ15" s="487">
        <f ca="1">AO15-AP15</f>
        <v>-4</v>
      </c>
      <c r="AR15" s="487">
        <f ca="1">IF(AK15=0,-($AW$14*VLOOKUP(AI15,Tabla3[[NombreEquipo]:[Rank]],3,FALSE)),AJ15*$AW$4+BA15+AQ15*$AW$11+AO15*$AW$12+AL15*$AW$13-($AW$14*VLOOKUP(AI15,Tabla3[[NombreEquipo]:[Rank]],3,FALSE)/100))</f>
        <v>781160499.94000006</v>
      </c>
      <c r="AS15" s="487">
        <f ca="1">AH15</f>
        <v>4</v>
      </c>
      <c r="AT15" s="487"/>
      <c r="AU15" s="487">
        <f ca="1">IFERROR(AR15-VLOOKUP(AI15,$AB$14:$AC$17,2,0),AR15)</f>
        <v>781160499.94000006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-1</v>
      </c>
      <c r="BK15" s="515">
        <v>0</v>
      </c>
      <c r="BL15" s="515">
        <f ca="1">BF15-BE16</f>
        <v>-2</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781160499.94000006</v>
      </c>
      <c r="BX15" s="212" t="str">
        <f ca="1">VLOOKUP(Q15,$AH$14:$AI$17,2,0)</f>
        <v>Rusia</v>
      </c>
      <c r="BY15" s="212">
        <f ca="1">VLOOKUP($BX15,$AI$14:$AR$17,10,FALSE)</f>
        <v>834031202199.92004</v>
      </c>
      <c r="CA15" s="212">
        <v>2</v>
      </c>
      <c r="CB15" s="212" t="str">
        <f ca="1">VLOOKUP(CA15,$AH$14:$AI$17,2,0)</f>
        <v>Rusia</v>
      </c>
      <c r="CC15" s="212">
        <f ca="1">VLOOKUP(CB15,$AI$14:$AR$17,2,FALSE)</f>
        <v>6</v>
      </c>
      <c r="CD15" s="497">
        <f ca="1">IF(SUM($AK$14:$AK$17)=12,MIN(ABS(BY14-BY15),ABS(BY15-BY16)),100)</f>
        <v>416625021099.97003</v>
      </c>
      <c r="CE15" s="212">
        <f ca="1">VLOOKUP($CB15,$AI$14:$AR$17,9,FALSE)</f>
        <v>0</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2</v>
      </c>
      <c r="Y16" s="4">
        <f ca="1">VLOOKUP($R16,$AI$14:$AR$17,8,FALSE)</f>
        <v>4</v>
      </c>
      <c r="Z16" s="161">
        <f ca="1">VLOOKUP($R16,$AI$14:$AR$17,9,FALSE)</f>
        <v>-2</v>
      </c>
      <c r="AA16" s="96">
        <f ca="1">IF(SUM($AK$14:$AK$17)=12,MIN(ABS(BY15-BY16),ABS(BY16-BY17)),100)</f>
        <v>416625020600.01001</v>
      </c>
      <c r="AB16" s="123" t="str">
        <f ca="1">IF(AND(AA16&gt;=0,AA16&lt;90),VLOOKUP(Q16,$BU$14:$BV$17,2,0),"")</f>
        <v/>
      </c>
      <c r="AC16" s="97"/>
      <c r="AD16" s="98"/>
      <c r="AE16" s="477"/>
      <c r="AF16" s="488">
        <f ca="1">VLOOKUP($R16,$AI$14:$AR$17,10,FALSE)</f>
        <v>417406181099.95001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8</v>
      </c>
      <c r="AP16" s="487">
        <f t="array" aca="1" ref="AP16" ca="1">SUMIFS($K$4:$K$49,$N$4:$N$49,AI16,$K$4:$K$49,"&lt;&gt;",$L$4:$L$49,"&lt;&gt;")+SUMIFS($L$4:$L$49,$I$4:$I$49,AI16,$K$4:$K$49,"&lt;&gt;",$L$4:$L$49,"&lt;&gt;")</f>
        <v>2</v>
      </c>
      <c r="AQ16" s="487">
        <f ca="1">AO16-AP16</f>
        <v>6</v>
      </c>
      <c r="AR16" s="487">
        <f ca="1">IF(AK16=0,-($AW$14*VLOOKUP(AI16,Tabla3[[NombreEquipo]:[Rank]],3,FALSE)),AJ16*$AW$4+BA16+AQ16*$AW$11+AO16*$AW$12+AL16*$AW$13-($AW$14*VLOOKUP(AI16,Tabla3[[NombreEquipo]:[Rank]],3,FALSE)/100))</f>
        <v>1250656264299.9299</v>
      </c>
      <c r="AS16" s="487">
        <f ca="1">AH16</f>
        <v>1</v>
      </c>
      <c r="AT16" s="487"/>
      <c r="AU16" s="487">
        <f ca="1">IFERROR(AR16-VLOOKUP(AI16,$AB$14:$AC$17,2,0),AR16)</f>
        <v>1250656264299.9299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3</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2</v>
      </c>
      <c r="BK16" s="515">
        <f ca="1">BE16-BF15</f>
        <v>2</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1250656264299.9299</v>
      </c>
      <c r="BX16" s="212" t="str">
        <f ca="1">VLOOKUP(Q16,$AH$14:$AI$17,2,0)</f>
        <v>Dinamarca</v>
      </c>
      <c r="BY16" s="212">
        <f ca="1">VLOOKUP($BX16,$AI$14:$AR$17,10,FALSE)</f>
        <v>417406181099.95001</v>
      </c>
      <c r="CA16" s="212">
        <v>3</v>
      </c>
      <c r="CB16" s="212" t="str">
        <f ca="1">VLOOKUP(CA16,$AH$14:$AI$17,2,0)</f>
        <v>Dinamarca</v>
      </c>
      <c r="CC16" s="212">
        <f ca="1">VLOOKUP(CB16,$AI$14:$AR$17,2,FALSE)</f>
        <v>3</v>
      </c>
      <c r="CD16" s="497">
        <f ca="1">IF(SUM($AK$14:$AK$17)=12,MIN(ABS(BY15-BY16),ABS(BY16-BY17)),100)</f>
        <v>416625020600.01001</v>
      </c>
      <c r="CE16" s="212">
        <f ca="1">VLOOKUP($CB16,$AI$14:$AR$17,9,FALSE)</f>
        <v>-2</v>
      </c>
      <c r="CF16" s="212">
        <f ca="1">VLOOKUP($CB16,$AI$14:$AR$17,7,FALSE)</f>
        <v>2</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0</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1</v>
      </c>
      <c r="Y17" s="164">
        <f ca="1">VLOOKUP($R17,$AI$14:$AR$17,8,FALSE)</f>
        <v>5</v>
      </c>
      <c r="Z17" s="165">
        <f ca="1">VLOOKUP($R17,$AI$14:$AR$17,9,FALSE)</f>
        <v>-4</v>
      </c>
      <c r="AA17" s="96">
        <f ca="1">IF(SUM($AK$14:$AK$17)=12,MIN(ABS(BY16-BY17),ABS(BY17-BY18)),100)</f>
        <v>781160499.94000006</v>
      </c>
      <c r="AB17" s="123" t="str">
        <f ca="1">IF(AND(AA17&gt;=0,AA17&lt;90),VLOOKUP(Q17,$BU$14:$BV$17,2,0),"")</f>
        <v/>
      </c>
      <c r="AC17" s="95"/>
      <c r="AD17" s="96"/>
      <c r="AE17" s="476"/>
      <c r="AF17" s="488">
        <f ca="1">VLOOKUP($R17,$AI$14:$AR$17,10,FALSE)</f>
        <v>781160499.94000006</v>
      </c>
      <c r="AG17" s="487">
        <f ca="1">RANK(AU17,$AU$14:$AU$17)</f>
        <v>2</v>
      </c>
      <c r="AH17" s="487">
        <f ca="1">RANK(AR17,$AR$14:$AR$17)</f>
        <v>2</v>
      </c>
      <c r="AI17" s="212" t="str">
        <f ca="1">A16</f>
        <v>Rusia</v>
      </c>
      <c r="AJ17" s="487">
        <f ca="1">AL17*3+AM17*1+AN17*0</f>
        <v>6</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0</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4</v>
      </c>
      <c r="AQ17" s="487">
        <f ca="1">AO17-AP17</f>
        <v>0</v>
      </c>
      <c r="AR17" s="487">
        <f ca="1">IF(AK17=0,-($AW$14*VLOOKUP(AI17,Tabla3[[NombreEquipo]:[Rank]],3,FALSE)),AJ17*$AW$4+BA17+AQ17*$AW$11+AO17*$AW$12+AL17*$AW$13-($AW$14*VLOOKUP(AI17,Tabla3[[NombreEquipo]:[Rank]],3,FALSE)/100))</f>
        <v>834031202199.92004</v>
      </c>
      <c r="AS17" s="487">
        <f ca="1">AH17</f>
        <v>2</v>
      </c>
      <c r="AT17" s="487"/>
      <c r="AU17" s="487">
        <f ca="1">IFERROR(AR17-VLOOKUP(AI17,$AB$14:$AC$17,2,0),AR17)</f>
        <v>834031202199.92004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1</v>
      </c>
      <c r="BK17" s="515">
        <f ca="1">BE17-BG15</f>
        <v>1</v>
      </c>
      <c r="BL17" s="515">
        <f ca="1">BF17-BG16</f>
        <v>-2</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834031202199.92004</v>
      </c>
      <c r="BX17" s="212" t="str">
        <f ca="1">VLOOKUP(Q17,$AH$14:$AI$17,2,0)</f>
        <v>Finlandia</v>
      </c>
      <c r="BY17" s="212">
        <f ca="1">VLOOKUP($BX17,$AI$14:$AR$17,10,FALSE)</f>
        <v>781160499.94000006</v>
      </c>
      <c r="CA17" s="212">
        <v>4</v>
      </c>
      <c r="CB17" s="212" t="str">
        <f ca="1">VLOOKUP(CA17,$AH$14:$AI$17,2,0)</f>
        <v>Finlandia</v>
      </c>
      <c r="CC17" s="212">
        <f ca="1">VLOOKUP(CB17,$AI$14:$AR$17,2,FALSE)</f>
        <v>0</v>
      </c>
      <c r="CD17" s="497">
        <f ca="1">IF(SUM($AK$14:$AK$17)=12,MIN(ABS(BY16-BY17),ABS(BY17-BY18)),100)</f>
        <v>781160499.94000006</v>
      </c>
      <c r="CE17" s="212">
        <f ca="1">VLOOKUP($CB17,$AI$14:$AR$17,9,FALSE)</f>
        <v>-4</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1</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1</v>
      </c>
      <c r="CP20" s="487">
        <f t="shared" ca="1" si="8"/>
        <v>0</v>
      </c>
      <c r="CQ20" s="487">
        <f t="shared" ca="1" si="8"/>
        <v>4</v>
      </c>
      <c r="CR20" s="487">
        <f t="shared" ca="1" si="8"/>
        <v>1</v>
      </c>
      <c r="CS20" s="487">
        <f t="shared" ca="1" si="8"/>
        <v>2</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2</v>
      </c>
      <c r="L21" s="37">
        <v>0</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2</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9</v>
      </c>
      <c r="Y22" s="175">
        <f ca="1">VLOOKUP($R22,$AI$22:$AR$25,8,FALSE)</f>
        <v>2</v>
      </c>
      <c r="Z22" s="176">
        <f ca="1">VLOOKUP($R22,$AI$22:$AR$25,9,FALSE)</f>
        <v>7</v>
      </c>
      <c r="AA22" s="96">
        <f ca="1">IF(SUM($AK$22:$AK$25)=12,MIN(ABS(BY21-BY22),ABS(BY22-BY23)),100)</f>
        <v>693064682700.00989</v>
      </c>
      <c r="AB22" s="123" t="str">
        <f ca="1">IF(AND(AA22&gt;=0,AA22&lt;90),VLOOKUP(Q22,$BU$22:$BV$25,2,0),"")</f>
        <v/>
      </c>
      <c r="AC22" s="95"/>
      <c r="AD22" s="96"/>
      <c r="AE22" s="476"/>
      <c r="AF22" s="488">
        <f ca="1">VLOOKUP($R22,$AI$22:$AR$25,10,FALSE)</f>
        <v>1250656274799.9099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9</v>
      </c>
      <c r="AP22" s="487">
        <f t="array" aca="1" ref="AP22" ca="1">SUMIFS($K$4:$K$49,$N$4:$N$49,AI22,$K$4:$K$49,"&lt;&gt;",$L$4:$L$49,"&lt;&gt;")+SUMIFS($L$4:$L$49,$I$4:$I$49,AI22,$K$4:$K$49,"&lt;&gt;",$L$4:$L$49,"&lt;&gt;")</f>
        <v>2</v>
      </c>
      <c r="AQ22" s="487">
        <f ca="1">AO22-AP22</f>
        <v>7</v>
      </c>
      <c r="AR22" s="487">
        <f ca="1">IF(AK22=0,-($AW$14*VLOOKUP(AI22,Tabla3[[NombreEquipo]:[Rank]],3,FALSE)),AJ22*$AW$4+BA22+AQ22*$AW$11+AO22*$AW$12+AL22*$AW$13-($AW$14*VLOOKUP(AI22,Tabla3[[NombreEquipo]:[Rank]],3,FALSE)/100))</f>
        <v>1250656274799.9099</v>
      </c>
      <c r="AS22" s="487">
        <f ca="1">AH22</f>
        <v>1</v>
      </c>
      <c r="AT22" s="487"/>
      <c r="AU22" s="487">
        <f ca="1">IFERROR(AR22-VLOOKUP(AI22,$AB$22:$AC$25,2,0),AR22)</f>
        <v>1250656274799.9099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3</v>
      </c>
      <c r="BG22" s="515">
        <f t="array" aca="1" ref="BG22" ca="1">SUMIFS($K$20:$K$25,$I$20:$I$25,$AY22,$K$20:$K$25,"&lt;&gt;",$L$20:$L$25,"&lt;&gt;",$N$20:$N$25,BG21)+SUMIFS($L$20:$L$25,$I$20:$I$25,BG21,$K$20:$K$25,"&lt;&gt;",$L$20:$L$25,"&lt;&gt;",$N$20:$N$25,$AY22)</f>
        <v>4</v>
      </c>
      <c r="BH22" s="515">
        <f ca="1">RANK(BI22,BI22:BI25,1)</f>
        <v>1</v>
      </c>
      <c r="BI22" s="515">
        <f ca="1">SUM(IF(AND(AJ22=AJ23),BK22,0),IF(AND(AJ22=AJ24),BL22,0),IF(AND(AJ22=AJ25),BM22,0))</f>
        <v>0</v>
      </c>
      <c r="BJ22" s="515">
        <v>0</v>
      </c>
      <c r="BK22" s="515">
        <f ca="1">BE22-BD23</f>
        <v>2</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1250656274799.9099</v>
      </c>
      <c r="BX22" s="212" t="str">
        <f ca="1">VLOOKUP(Q22,$AH$22:$AI$25,2,0)</f>
        <v>Países Bajos</v>
      </c>
      <c r="BY22" s="212">
        <f ca="1">VLOOKUP($BX22,$AI$22:$AR$25,10,FALSE)</f>
        <v>1250656274799.9099</v>
      </c>
      <c r="CA22" s="212">
        <v>1</v>
      </c>
      <c r="CB22" s="212" t="str">
        <f ca="1">VLOOKUP(CA22,$AH$22:$AI$25,2,0)</f>
        <v>Países Bajos</v>
      </c>
      <c r="CC22" s="212">
        <f ca="1">VLOOKUP(CB22,$AI$22:$AR$25,2,FALSE)</f>
        <v>9</v>
      </c>
      <c r="CD22" s="497">
        <f ca="1">IF(SUM($AK$22:$AK$25)=12,MIN(ABS(BY21-BY22),ABS(BY22-BY23)),100)</f>
        <v>693064682700.00989</v>
      </c>
      <c r="CE22" s="212">
        <f ca="1">VLOOKUP($CB22,$AI$22:$AR$25,9,FALSE)</f>
        <v>7</v>
      </c>
      <c r="CF22" s="212">
        <f ca="1">VLOOKUP($CB22,$AI$22:$AR$25,7,FALSE)</f>
        <v>9</v>
      </c>
      <c r="CH22" s="212">
        <f t="array" aca="1" ref="CH22" ca="1">IF($CI$22=$CL$21,$EC$21:$EC$24,IF($CI$22=$CM$21,$ED$21:$ED$23,IF(OR($CI$22=$CN$21,$CI$22=$CO$21),$EE$21:$EE$22,$EI$21)))</f>
        <v>1</v>
      </c>
      <c r="CI22" s="487" t="str">
        <f ca="1">IFERROR(HLOOKUP(4,CL20:DI21,2,0),CS21)</f>
        <v>COM_6</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3</v>
      </c>
      <c r="L23" s="37">
        <v>1</v>
      </c>
      <c r="M23" s="39"/>
      <c r="N23" s="79" t="str">
        <f ca="1">A23</f>
        <v>Austria</v>
      </c>
      <c r="O23" s="111">
        <f t="shared" si="9"/>
        <v>1</v>
      </c>
      <c r="P23" s="107"/>
      <c r="Q23" s="177">
        <v>2</v>
      </c>
      <c r="R23" s="5" t="str">
        <f ca="1">VLOOKUP(Q23,$AG$22:$AI$25,3,0)</f>
        <v>Ucrania</v>
      </c>
      <c r="S23" s="4">
        <f ca="1">VLOOKUP(R23,$AI$22:$AR$25,2,FALSE)</f>
        <v>4</v>
      </c>
      <c r="T23" s="4">
        <f ca="1">VLOOKUP($R23,$AI$22:$AR$25,3,FALSE)</f>
        <v>3</v>
      </c>
      <c r="U23" s="4">
        <f ca="1">VLOOKUP($R23,$AI$22:$AR$25,4,FALSE)</f>
        <v>1</v>
      </c>
      <c r="V23" s="4">
        <f ca="1">VLOOKUP($R23,$AI$22:$AR$25,5,FALSE)</f>
        <v>1</v>
      </c>
      <c r="W23" s="4">
        <f ca="1">VLOOKUP($R23,$AI$22:$AR$25,6,FALSE)</f>
        <v>1</v>
      </c>
      <c r="X23" s="4">
        <f ca="1">VLOOKUP($R23,$AI$22:$AR$25,7,FALSE)</f>
        <v>4</v>
      </c>
      <c r="Y23" s="4">
        <f ca="1">VLOOKUP($R23,$AI$22:$AR$25,8,FALSE)</f>
        <v>5</v>
      </c>
      <c r="Z23" s="178">
        <f ca="1">VLOOKUP($R23,$AI$22:$AR$25,9,FALSE)</f>
        <v>-1</v>
      </c>
      <c r="AA23" s="96">
        <f ca="1">IF(SUM($AK$22:$AK$25)=12,MIN(ABS(BY22-BY23),ABS(BY23-BY24)),100)</f>
        <v>1.0009765625E-2</v>
      </c>
      <c r="AB23" s="123" t="str">
        <f ca="1">IF(AND(AA23&gt;=0,AA23&lt;90),VLOOKUP(Q23,$BU$22:$BV$25,2,0),"")</f>
        <v>Ucrania</v>
      </c>
      <c r="AC23" s="97">
        <v>2</v>
      </c>
      <c r="AD23" s="98"/>
      <c r="AE23" s="477"/>
      <c r="AF23" s="488">
        <f ca="1">VLOOKUP($R23,$AI$22:$AR$25,10,FALSE)</f>
        <v>557591592099.90002</v>
      </c>
      <c r="AG23" s="487">
        <f ca="1">RANK(AU23,$AU$22:$AU$25)</f>
        <v>2</v>
      </c>
      <c r="AH23" s="487">
        <f ca="1">RANK(AR23,$AR$22:$AR$25)</f>
        <v>2</v>
      </c>
      <c r="AI23" s="212" t="str">
        <f ca="1">A22</f>
        <v>Ucrania</v>
      </c>
      <c r="AJ23" s="487">
        <f ca="1">AL23*3+AM23*1+AN23*0</f>
        <v>4</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1</v>
      </c>
      <c r="AN23" s="487">
        <f t="array" aca="1" ref="AN23" ca="1">SUM(($I$4:$I$49=AI23)*($L$4:$L$49&lt;&gt;"")*($K$4:$K$49&lt;&gt;"")*($K$4:$K$49&lt;$L$4:$L$49),($K$4:$K$49&lt;&gt;"")*($N$4:$N$49=AI23)*($L$4:$L$49&lt;&gt;"")*($K$4:$K$49&gt;$L$4:$L$49))</f>
        <v>1</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557591592099.90002</v>
      </c>
      <c r="AS23" s="487">
        <f ca="1">AH23</f>
        <v>2</v>
      </c>
      <c r="AT23" s="487"/>
      <c r="AU23" s="487">
        <f ca="1">IFERROR(AR23-VLOOKUP(AI23,$AB$22:$AC$25,2,0),AR23)</f>
        <v>557591592097.90002</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2</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2</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-2</v>
      </c>
      <c r="BK23" s="515">
        <v>0</v>
      </c>
      <c r="BL23" s="515">
        <f ca="1">BF23-BE24</f>
        <v>0</v>
      </c>
      <c r="BM23" s="515">
        <f ca="1">BG23-BE25</f>
        <v>1</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557591592099.90002</v>
      </c>
      <c r="BX23" s="212" t="str">
        <f ca="1">VLOOKUP(Q23,$AH$22:$AI$25,2,0)</f>
        <v>Ucrania</v>
      </c>
      <c r="BY23" s="212">
        <f ca="1">VLOOKUP($BX23,$AI$22:$AR$25,10,FALSE)</f>
        <v>557591592099.90002</v>
      </c>
      <c r="CA23" s="212">
        <v>2</v>
      </c>
      <c r="CB23" s="212" t="str">
        <f ca="1">VLOOKUP(CA23,$AH$22:$AI$25,2,0)</f>
        <v>Ucrania</v>
      </c>
      <c r="CC23" s="212">
        <f ca="1">VLOOKUP(CB23,$AI$22:$AR$25,2,FALSE)</f>
        <v>4</v>
      </c>
      <c r="CD23" s="497">
        <f ca="1">IF(SUM($AK$22:$AK$25)=12,MIN(ABS(BY22-BY23),ABS(BY23-BY24)),100)</f>
        <v>1.0009765625E-2</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1</v>
      </c>
      <c r="CR23" s="487">
        <f t="array" aca="1" ref="CR23" ca="1">IF(AND($CC$23&lt;&gt;$CC$22,$CC$23&lt;&gt;$CC$24),1,0)</f>
        <v>0</v>
      </c>
      <c r="CS23" s="487">
        <f t="array" aca="1" ref="CS23" ca="1">IF(AND($CC$23&lt;&gt;$CC$22,$CC$23&lt;&gt;$CC$24),1,0)</f>
        <v>0</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2</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2</v>
      </c>
      <c r="L24" s="37">
        <v>2</v>
      </c>
      <c r="M24" s="38"/>
      <c r="N24" s="79" t="str">
        <f ca="1">A23</f>
        <v>Austria</v>
      </c>
      <c r="O24" s="111">
        <f t="shared" si="9"/>
        <v>1</v>
      </c>
      <c r="P24" s="107"/>
      <c r="Q24" s="177">
        <v>3</v>
      </c>
      <c r="R24" s="5" t="str">
        <f ca="1">VLOOKUP(Q24,$AG$22:$AI$25,3,0)</f>
        <v>Austria</v>
      </c>
      <c r="S24" s="4">
        <f ca="1">VLOOKUP(R24,$AI$22:$AR$25,2,FALSE)</f>
        <v>4</v>
      </c>
      <c r="T24" s="4">
        <f ca="1">VLOOKUP($R24,$AI$22:$AR$25,3,FALSE)</f>
        <v>3</v>
      </c>
      <c r="U24" s="4">
        <f ca="1">VLOOKUP($R24,$AI$22:$AR$25,4,FALSE)</f>
        <v>1</v>
      </c>
      <c r="V24" s="4">
        <f ca="1">VLOOKUP($R24,$AI$22:$AR$25,5,FALSE)</f>
        <v>1</v>
      </c>
      <c r="W24" s="4">
        <f ca="1">VLOOKUP($R24,$AI$22:$AR$25,6,FALSE)</f>
        <v>1</v>
      </c>
      <c r="X24" s="4">
        <f ca="1">VLOOKUP($R24,$AI$22:$AR$25,7,FALSE)</f>
        <v>4</v>
      </c>
      <c r="Y24" s="4">
        <f ca="1">VLOOKUP($R24,$AI$22:$AR$25,8,FALSE)</f>
        <v>5</v>
      </c>
      <c r="Z24" s="178">
        <f ca="1">VLOOKUP($R24,$AI$22:$AR$25,9,FALSE)</f>
        <v>-1</v>
      </c>
      <c r="AA24" s="96">
        <f ca="1">IF(SUM($AK$22:$AK$25)=12,MIN(ABS(BY23-BY24),ABS(BY24-BY25)),100)</f>
        <v>1.0009765625E-2</v>
      </c>
      <c r="AB24" s="123" t="str">
        <f ca="1">IF(AND(AA24&gt;=0,AA24&lt;90),VLOOKUP(Q24,$BU$22:$BV$25,2,0),"")</f>
        <v>Austria</v>
      </c>
      <c r="AC24" s="97">
        <v>3</v>
      </c>
      <c r="AD24" s="98"/>
      <c r="AE24" s="477"/>
      <c r="AF24" s="488">
        <f ca="1">VLOOKUP($R24,$AI$22:$AR$25,10,FALSE)</f>
        <v>557591592099.89001</v>
      </c>
      <c r="AG24" s="487">
        <f ca="1">RANK(AU24,$AU$22:$AU$25)</f>
        <v>3</v>
      </c>
      <c r="AH24" s="487">
        <f ca="1">RANK(AR24,$AR$22:$AR$25)</f>
        <v>3</v>
      </c>
      <c r="AI24" s="212" t="str">
        <f ca="1">A23</f>
        <v>Austria</v>
      </c>
      <c r="AJ24" s="487">
        <f ca="1">AL24*3+AM24*1+AN24*0</f>
        <v>4</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1</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5</v>
      </c>
      <c r="AQ24" s="487">
        <f ca="1">AO24-AP24</f>
        <v>-1</v>
      </c>
      <c r="AR24" s="487">
        <f ca="1">IF(AK24=0,-($AW$14*VLOOKUP(AI24,Tabla3[[NombreEquipo]:[Rank]],3,FALSE)),AJ24*$AW$4+BA24+AQ24*$AW$11+AO24*$AW$12+AL24*$AW$13-($AW$14*VLOOKUP(AI24,Tabla3[[NombreEquipo]:[Rank]],3,FALSE)/100))</f>
        <v>557591592099.89001</v>
      </c>
      <c r="AS24" s="487">
        <f ca="1">AH24</f>
        <v>3</v>
      </c>
      <c r="AT24" s="487"/>
      <c r="AU24" s="487">
        <f ca="1">IFERROR(AR24-VLOOKUP(AI24,$AB$22:$AC$25,2,0),AR24)</f>
        <v>557591592096.89001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2</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2</v>
      </c>
      <c r="BF24" s="515">
        <v>0</v>
      </c>
      <c r="BG24" s="515">
        <f t="array" aca="1" ref="BG24" ca="1">SUMIFS($K$20:$K$25,$I$20:$I$25,$AY24,$K$20:$K$25,"&lt;&gt;",$L$20:$L$25,"&lt;&gt;",$N$20:$N$25,BG21)+SUMIFS($L$20:$L$25,$I$20:$I$25,BG21,$K$20:$K$25,"&lt;&gt;",$L$20:$L$25,"&lt;&gt;",$N$20:$N$25,$AY24)</f>
        <v>1</v>
      </c>
      <c r="BH24" s="515">
        <f ca="1">RANK(BI24,BI22:BI25,1)</f>
        <v>1</v>
      </c>
      <c r="BI24" s="515">
        <f ca="1">SUM(IF(AND(AJ24=AJ25),BM24,0),IF(AND(AJ24=AJ22),BJ24,0),IF(AND(AJ24=AJ23),BK24,0))</f>
        <v>0</v>
      </c>
      <c r="BJ24" s="515">
        <f ca="1">BD24-BF22</f>
        <v>-2</v>
      </c>
      <c r="BK24" s="515">
        <f ca="1">BE24-BF23</f>
        <v>0</v>
      </c>
      <c r="BL24" s="515">
        <v>0</v>
      </c>
      <c r="BM24" s="515">
        <f ca="1">BG24-BF25</f>
        <v>1</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3</v>
      </c>
      <c r="BV24" s="212" t="str">
        <f ca="1">A23</f>
        <v>Austria</v>
      </c>
      <c r="BW24" s="212">
        <f ca="1">IF(AK24=0,-($AW$14*VLOOKUP(AI24,Tabla3[[NombreEquipo]:[Rank]],3,FALSE)),AJ24*$AW$4+BA24+AQ24*$AW$11+AO24*$AW$12+AL24*$AW$13-($AW$14*VLOOKUP(AI24,Tabla3[[NombreEquipo]:[Rank]],3,FALSE)/100))</f>
        <v>557591592099.89001</v>
      </c>
      <c r="BX24" s="212" t="str">
        <f ca="1">VLOOKUP(Q24,$AH$22:$AI$25,2,0)</f>
        <v>Austria</v>
      </c>
      <c r="BY24" s="212">
        <f ca="1">VLOOKUP($BX24,$AI$22:$AR$25,10,FALSE)</f>
        <v>557591592099.89001</v>
      </c>
      <c r="CA24" s="212">
        <v>3</v>
      </c>
      <c r="CB24" s="212" t="str">
        <f ca="1">VLOOKUP(CA24,$AH$22:$AI$25,2,0)</f>
        <v>Austria</v>
      </c>
      <c r="CC24" s="212">
        <f ca="1">VLOOKUP(CB24,$AI$22:$AR$25,2,FALSE)</f>
        <v>4</v>
      </c>
      <c r="CD24" s="497">
        <f ca="1">IF(SUM($AK$22:$AK$25)=12,MIN(ABS(BY23-BY24),ABS(BY24-BY25)),100)</f>
        <v>1.0009765625E-2</v>
      </c>
      <c r="CE24" s="212">
        <f ca="1">VLOOKUP($CB24,$AI$22:$AR$25,9,FALSE)</f>
        <v>-1</v>
      </c>
      <c r="CF24" s="212">
        <f ca="1">VLOOKUP($CB24,$AI$22:$AR$25,7,FALSE)</f>
        <v>4</v>
      </c>
      <c r="CH24" s="212">
        <f t="array" aca="1" ref="CH24" ca="1">IF($CI$22=$CL$21,$EC$21:$EC$24,IF($CI$22=$CM$21,$ED$21:$ED$23,IF(OR($CI$22=$CN$21,$CI$22=$CR$21),$EG$21:$EG$22,IF($CI$22=$CP$21,$EF$21:$EF$23,(IF($CI$22=$CQ$21,$EH$21:$EH$22,$EK$21))))))</f>
        <v>2</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0</v>
      </c>
      <c r="CP24" s="487">
        <f t="array" aca="1" ref="CP24" ca="1">IF(AND($CC$23:$CC$25=$CC$23,$CD$23:$CD$25&lt;90,$CC$22&lt;&gt;$CC$24),1,0)</f>
        <v>0</v>
      </c>
      <c r="CQ24" s="487">
        <f t="array" aca="1" ref="CQ24" ca="1">IF(AND($CC$23:$CC$24=$CC$24,$CD$23:$CD$24&lt;90,$CC$24&lt;&gt;$CC$22,$CC$24&lt;&gt;$CC$25),1,0)</f>
        <v>1</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2</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1</v>
      </c>
      <c r="L25" s="84">
        <v>4</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7</v>
      </c>
      <c r="Z25" s="182">
        <f ca="1">VLOOKUP($R25,$AI$22:$AR$25,9,FALSE)</f>
        <v>-5</v>
      </c>
      <c r="AA25" s="96">
        <f ca="1">IF(SUM($AK$22:$AK$25)=12,MIN(ABS(BY24-BY25),ABS(BY25-BY26)),100)</f>
        <v>781150999.88</v>
      </c>
      <c r="AB25" s="123" t="str">
        <f ca="1">IF(AND(AA25&gt;=0,AA25&lt;90),VLOOKUP(Q25,$BU$22:$BV$25,2,0),"")</f>
        <v/>
      </c>
      <c r="AC25" s="95"/>
      <c r="AD25" s="96"/>
      <c r="AE25" s="476"/>
      <c r="AF25" s="488">
        <f ca="1">VLOOKUP($R25,$AI$22:$AR$25,10,FALSE)</f>
        <v>781150999.88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7</v>
      </c>
      <c r="AQ25" s="487">
        <f ca="1">AO25-AP25</f>
        <v>-5</v>
      </c>
      <c r="AR25" s="487">
        <f ca="1">IF(AK25=0,-($AW$14*VLOOKUP(AI25,Tabla3[[NombreEquipo]:[Rank]],3,FALSE)),AJ25*$AW$4+BA25+AQ25*$AW$11+AO25*$AW$12+AL25*$AW$13-($AW$14*VLOOKUP(AI25,Tabla3[[NombreEquipo]:[Rank]],3,FALSE)/100))</f>
        <v>781150999.88</v>
      </c>
      <c r="AS25" s="487">
        <f ca="1">AH25</f>
        <v>4</v>
      </c>
      <c r="AT25" s="487"/>
      <c r="AU25" s="487">
        <f ca="1">IFERROR(AR25-VLOOKUP(AI25,$AB$22:$AC$25,2,0),AR25)</f>
        <v>781150999.88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1</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-3</v>
      </c>
      <c r="BK25" s="515">
        <f ca="1">BE25-BG23</f>
        <v>-1</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781150999.88</v>
      </c>
      <c r="BX25" s="212" t="str">
        <f ca="1">VLOOKUP(Q25,$AH$22:$AI$25,2,0)</f>
        <v>Macedonia del Norte</v>
      </c>
      <c r="BY25" s="212">
        <f ca="1">VLOOKUP($BX25,$AI$22:$AR$25,10,FALSE)</f>
        <v>781150999.88</v>
      </c>
      <c r="CA25" s="212">
        <v>4</v>
      </c>
      <c r="CB25" s="212" t="str">
        <f ca="1">VLOOKUP(CA25,$AH$22:$AI$25,2,0)</f>
        <v>Macedonia del Norte</v>
      </c>
      <c r="CC25" s="212">
        <f ca="1">VLOOKUP(CB25,$AI$22:$AR$25,2,FALSE)</f>
        <v>0</v>
      </c>
      <c r="CD25" s="497">
        <f ca="1">IF(SUM($AK$22:$AK$25)=12,MIN(ABS(BY24-BY25),ABS(BY25-BY26)),100)</f>
        <v>781150999.88</v>
      </c>
      <c r="CE25" s="212">
        <f ca="1">VLOOKUP($CB25,$AI$22:$AR$25,9,FALSE)</f>
        <v>-5</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4</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1</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2</v>
      </c>
      <c r="L30" s="291">
        <v>2</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5</v>
      </c>
      <c r="Y30" s="355">
        <f ca="1">VLOOKUP($R30,$AI$30:$AR$33,8,FALSE)</f>
        <v>2</v>
      </c>
      <c r="Z30" s="356">
        <f ca="1">VLOOKUP($R30,$AI$30:$AR$33,9,FALSE)</f>
        <v>3</v>
      </c>
      <c r="AA30" s="96">
        <f ca="1">IF(SUM($AK$30:$AK$33)=12,MIN(ABS(BY29-BY30),ABS(BY30-BY31)),100)</f>
        <v>416625030100.03003</v>
      </c>
      <c r="AB30" s="123" t="str">
        <f ca="1">IF(AND(AA30&gt;=0,AA30&lt;90),VLOOKUP(Q30,$BU$30:$BV$33,2,0),"")</f>
        <v/>
      </c>
      <c r="AC30" s="95"/>
      <c r="AD30" s="96"/>
      <c r="AE30" s="476"/>
      <c r="AF30" s="488">
        <f ca="1">VLOOKUP($R30,$AI$30:$AR$33,10,FALSE)</f>
        <v>972906232699.87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5</v>
      </c>
      <c r="AP30" s="487">
        <f t="array" aca="1" ref="AP30" ca="1">SUMIFS($K$4:$K$49,$N$4:$N$49,AI30,$K$4:$K$49,"&lt;&gt;",$L$4:$L$49,"&lt;&gt;")+SUMIFS($L$4:$L$49,$I$4:$I$49,AI30,$K$4:$K$49,"&lt;&gt;",$L$4:$L$49,"&lt;&gt;")</f>
        <v>2</v>
      </c>
      <c r="AQ30" s="487">
        <f ca="1">AO30-AP30</f>
        <v>3</v>
      </c>
      <c r="AR30" s="487">
        <f ca="1">IF(AK30=0,-($AW$14*VLOOKUP(AI30,Tabla3[[NombreEquipo]:[Rank]],3,FALSE)),AJ30*$AW$4+BA30+AQ30*$AW$11+AO30*$AW$12+AL30*$AW$13-($AW$14*VLOOKUP(AI30,Tabla3[[NombreEquipo]:[Rank]],3,FALSE)/100))</f>
        <v>972906232699.87</v>
      </c>
      <c r="AS30" s="487">
        <f ca="1">AH30</f>
        <v>1</v>
      </c>
      <c r="AT30" s="487"/>
      <c r="AU30" s="487">
        <f ca="1">IFERROR(AR30-VLOOKUP(AI30,$AB$30:$AC$33,2,0),AR30)</f>
        <v>972906232699.87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0</v>
      </c>
      <c r="BL30" s="515">
        <f ca="1">BF30-BD32</f>
        <v>2</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1</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972906232699.87</v>
      </c>
      <c r="BX30" s="212" t="str">
        <f ca="1">VLOOKUP(Q30,$AH$30:$AI$33,2,0)</f>
        <v>Inglaterra</v>
      </c>
      <c r="BY30" s="212">
        <f ca="1">VLOOKUP($BX30,$AI$30:$AR$33,10,FALSE)</f>
        <v>972906232699.87</v>
      </c>
      <c r="CA30" s="212">
        <v>1</v>
      </c>
      <c r="CB30" s="212" t="str">
        <f ca="1">VLOOKUP(CA30,$AH$30:$AI$33,2,0)</f>
        <v>Inglaterra</v>
      </c>
      <c r="CC30" s="212">
        <f ca="1">VLOOKUP(CB30,$AI$30:$AR$33,2,FALSE)</f>
        <v>7</v>
      </c>
      <c r="CD30" s="497">
        <f ca="1">IF(SUM($AK$30:$AK$33)=12,MIN(ABS(BY29-BY30),ABS(BY30-BY31)),100)</f>
        <v>416625030100.03003</v>
      </c>
      <c r="CE30" s="212">
        <f ca="1">VLOOKUP($CB30,$AI$30:$AR$33,9,FALSE)</f>
        <v>3</v>
      </c>
      <c r="CF30" s="212">
        <f ca="1">VLOOKUP($CB30,$AI$30:$AR$33,7,FALSE)</f>
        <v>5</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2</v>
      </c>
      <c r="L31" s="291">
        <v>0</v>
      </c>
      <c r="M31" s="293"/>
      <c r="N31" s="301" t="str">
        <f ca="1">A31</f>
        <v>Escocia</v>
      </c>
      <c r="O31" s="111">
        <f t="shared" si="15"/>
        <v>1</v>
      </c>
      <c r="P31" s="107"/>
      <c r="Q31" s="334">
        <v>2</v>
      </c>
      <c r="R31" s="5" t="str">
        <f ca="1">VLOOKUP(Q31,$AG$30:$AI$33,3,0)</f>
        <v>República Checa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5</v>
      </c>
      <c r="Y31" s="4">
        <f ca="1">VLOOKUP($R31,$AI$30:$AR$33,8,FALSE)</f>
        <v>5</v>
      </c>
      <c r="Z31" s="335">
        <f ca="1">VLOOKUP($R31,$AI$30:$AR$33,9,FALSE)</f>
        <v>0</v>
      </c>
      <c r="AA31" s="96">
        <f ca="1">IF(SUM($AK$30:$AK$33)=12,MIN(ABS(BY30-BY31),ABS(BY31-BY32)),100)</f>
        <v>138875000599.97998</v>
      </c>
      <c r="AB31" s="123" t="str">
        <f ca="1">IF(AND(AA31&gt;=0,AA31&lt;90),VLOOKUP(Q31,$BU$30:$BV$33,2,0),"")</f>
        <v/>
      </c>
      <c r="AC31" s="97"/>
      <c r="AD31" s="98"/>
      <c r="AE31" s="477"/>
      <c r="AF31" s="488">
        <f ca="1">VLOOKUP($R31,$AI$30:$AR$33,10,FALSE)</f>
        <v>556281202599.83997</v>
      </c>
      <c r="AG31" s="487">
        <f ca="1">RANK(AU31,$AU$30:$AU$33)</f>
        <v>3</v>
      </c>
      <c r="AH31" s="487">
        <f ca="1">RANK(AR31,$AR$30:$AR$33)</f>
        <v>3</v>
      </c>
      <c r="AI31" s="212" t="str">
        <f ca="1">A30</f>
        <v>Croacia</v>
      </c>
      <c r="AJ31" s="487">
        <f ca="1">AL31*3+AM31*1+AN31*0</f>
        <v>3</v>
      </c>
      <c r="AK31" s="487">
        <f ca="1">COUNTIFS($I$4:$I$49,AI31,$K$4:$K$49,"&lt;&gt;",$L$4:$L$49,"&lt;&gt;")+COUNTIFS($N$4:$N$49,AI31,$L$4:$L$49,"&lt;&gt;",$K$4:$K$49,"&lt;&gt;")</f>
        <v>3</v>
      </c>
      <c r="AL31" s="487">
        <f t="array" aca="1" ref="AL31" ca="1">SUM(($I$4:$I$49=AI31)*($K$4:$K$49&lt;&gt;"")*($L$4:$L$49&lt;&gt;"")*($K$4:$K$49&gt;$L$4:$L$49),($N$4:$N$49=AI31)*($K$4:$K$49&lt;&gt;"")*($L$4:$L$49&lt;&gt;"")*($K$4:$K$49&lt;$L$4:$L$49))</f>
        <v>0</v>
      </c>
      <c r="AM31" s="487">
        <f t="array" aca="1" ref="AM31" ca="1">SUM(($I$4:$I$49=AI31)*($K$4:$K$49&lt;&gt;"")*($L$4:$L$49&lt;&gt;"")*($K$4:$K$49=$L$4:$L$49),($N$4:$N$49=AI31)*($K$4:$K$49&lt;&gt;"")*($L$4:$L$49&lt;&gt;"")*($K$4:$K$49=$L$4:$L$49))</f>
        <v>3</v>
      </c>
      <c r="AN31" s="487">
        <f t="array" aca="1" ref="AN31" ca="1">SUM(($I$4:$I$49=AI31)*($L$4:$L$49&lt;&gt;"")*($K$4:$K$49&lt;&gt;"")*($K$4:$K$49&lt;$L$4:$L$49),($K$4:$K$49&lt;&gt;"")*($N$4:$N$49=AI31)*($L$4:$L$49&lt;&gt;"")*($K$4:$K$49&gt;$L$4:$L$49))</f>
        <v>0</v>
      </c>
      <c r="AO31" s="487">
        <f t="array" aca="1" ref="AO31" ca="1">SUMIFS($K$4:$K$49,$I$4:$I$49,AI31,$K$4:$K$49,"&lt;&gt;",$L$4:$L$49,"&lt;&gt;")+SUMIFS($L$4:$L$49,$N$4:$N$49,AI31,$K$4:$K$49,"&lt;&gt;",$L$4:$L$49,"&lt;&gt;")</f>
        <v>4</v>
      </c>
      <c r="AP31" s="487">
        <f t="array" aca="1" ref="AP31" ca="1">SUMIFS($K$4:$K$49,$N$4:$N$49,AI31,$K$4:$K$49,"&lt;&gt;",$L$4:$L$49,"&lt;&gt;")+SUMIFS($L$4:$L$49,$I$4:$I$49,AI31,$K$4:$K$49,"&lt;&gt;",$L$4:$L$49,"&lt;&gt;")</f>
        <v>4</v>
      </c>
      <c r="AQ31" s="487">
        <f ca="1">AO31-AP31</f>
        <v>0</v>
      </c>
      <c r="AR31" s="487">
        <f ca="1">IF(AK31=0,-($AW$14*VLOOKUP(AI31,Tabla3[[NombreEquipo]:[Rank]],3,FALSE)),AJ31*$AW$4+BA31+AQ31*$AW$11+AO31*$AW$12+AL31*$AW$13-($AW$14*VLOOKUP(AI31,Tabla3[[NombreEquipo]:[Rank]],3,FALSE)/100))</f>
        <v>417406201999.85999</v>
      </c>
      <c r="AS31" s="487">
        <f ca="1">AH31</f>
        <v>3</v>
      </c>
      <c r="AT31" s="487"/>
      <c r="AU31" s="487">
        <f ca="1">IFERROR(AR31-VLOOKUP(AI31,$AB$30:$AC$33,2,0),AR31)</f>
        <v>417406201999.85999</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1</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0</v>
      </c>
      <c r="BK31" s="515">
        <v>0</v>
      </c>
      <c r="BL31" s="515">
        <f ca="1">BF31-BE32</f>
        <v>0</v>
      </c>
      <c r="BM31" s="515">
        <f ca="1">BG31-BE33</f>
        <v>0</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1</v>
      </c>
      <c r="BQ31" s="514">
        <v>0</v>
      </c>
      <c r="BR31" s="514">
        <f t="array" aca="1" ref="BR31" ca="1">SUM((I$4:I$49=AY31)*(N$4:N$49=BR29)*(K$4:K$49&lt;&gt;"")*(L$4:L$49&lt;&gt;"")*(K$4:K$49&gt;L$4:L$49)*3,(N$4:N$49=AY31)*(I$4:I$49=BR29)*(K$4:K$49&lt;&gt;"")*(L$4:L$49&lt;&gt;"")*(K$4:K$49=L$4:L$49)*1,(N$4:N$49=AY31)*(I$4:I$49=BR29)*(K$4:K$49&lt;&gt;"")*(L$4:L$49&lt;&gt;"")*(K$4:K$49&lt;L$4:L$49)*3,(I$4:I$49=AY31)*(N$4:N$49=BR29)*(K$4:K$49&lt;&gt;"")*(L$4:L$49&lt;&gt;"")*(K$4:K$49=L$4:L$49)*1)</f>
        <v>1</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3</v>
      </c>
      <c r="BV31" s="212" t="str">
        <f ca="1">A30</f>
        <v>Croacia</v>
      </c>
      <c r="BW31" s="212">
        <f ca="1">IF(AK31=0,-($AW$14*VLOOKUP(AI31,Tabla3[[NombreEquipo]:[Rank]],3,FALSE)),AJ31*$AW$4+BA31+AQ31*$AW$11+AO31*$AW$12+AL31*$AW$13-($AW$14*VLOOKUP(AI31,Tabla3[[NombreEquipo]:[Rank]],3,FALSE)/100))</f>
        <v>417406201999.85999</v>
      </c>
      <c r="BX31" s="212" t="str">
        <f ca="1">VLOOKUP(Q31,$AH$30:$AI$33,2,0)</f>
        <v>República Checa</v>
      </c>
      <c r="BY31" s="212">
        <f ca="1">VLOOKUP($BX31,$AI$30:$AR$33,10,FALSE)</f>
        <v>556281202599.83997</v>
      </c>
      <c r="CA31" s="212">
        <v>2</v>
      </c>
      <c r="CB31" s="212" t="str">
        <f ca="1">VLOOKUP(CA31,$AH$30:$AI$33,2,0)</f>
        <v>República Checa</v>
      </c>
      <c r="CC31" s="212">
        <f ca="1">VLOOKUP(CB31,$AI$30:$AR$33,2,FALSE)</f>
        <v>4</v>
      </c>
      <c r="CD31" s="497">
        <f ca="1">IF(SUM($AK$30:$AK$33)=12,MIN(ABS(BY30-BY31),ABS(BY31-BY32)),100)</f>
        <v>138875000599.97998</v>
      </c>
      <c r="CE31" s="212">
        <f ca="1">VLOOKUP($CB31,$AI$30:$AR$33,9,FALSE)</f>
        <v>0</v>
      </c>
      <c r="CF31" s="212">
        <f ca="1">VLOOKUP($CB31,$AI$30:$AR$33,7,FALSE)</f>
        <v>5</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1</v>
      </c>
      <c r="L32" s="291">
        <v>2</v>
      </c>
      <c r="M32" s="292"/>
      <c r="N32" s="301" t="str">
        <f ca="1">A29</f>
        <v>Inglaterra</v>
      </c>
      <c r="O32" s="111">
        <f t="shared" si="15"/>
        <v>1</v>
      </c>
      <c r="P32" s="107"/>
      <c r="Q32" s="334">
        <v>3</v>
      </c>
      <c r="R32" s="5" t="str">
        <f ca="1">VLOOKUP(Q32,$AG$30:$AI$33,3,0)</f>
        <v>Croacia</v>
      </c>
      <c r="S32" s="4">
        <f ca="1">VLOOKUP(R32,$AI$30:$AR$33,2,FALSE)</f>
        <v>3</v>
      </c>
      <c r="T32" s="4">
        <f ca="1">VLOOKUP($R32,$AI$30:$AR$33,3,FALSE)</f>
        <v>3</v>
      </c>
      <c r="U32" s="4">
        <f ca="1">VLOOKUP($R32,$AI$30:$AR$33,4,FALSE)</f>
        <v>0</v>
      </c>
      <c r="V32" s="4">
        <f ca="1">VLOOKUP($R32,$AI$30:$AR$33,5,FALSE)</f>
        <v>3</v>
      </c>
      <c r="W32" s="4">
        <f ca="1">VLOOKUP($R32,$AI$30:$AR$33,6,FALSE)</f>
        <v>0</v>
      </c>
      <c r="X32" s="4">
        <f ca="1">VLOOKUP($R32,$AI$30:$AR$33,7,FALSE)</f>
        <v>4</v>
      </c>
      <c r="Y32" s="4">
        <f ca="1">VLOOKUP($R32,$AI$30:$AR$33,8,FALSE)</f>
        <v>4</v>
      </c>
      <c r="Z32" s="335">
        <f ca="1">VLOOKUP($R32,$AI$30:$AR$33,9,FALSE)</f>
        <v>0</v>
      </c>
      <c r="AA32" s="96">
        <f ca="1">IF(SUM($AK$30:$AK$33)=12,MIN(ABS(BY31-BY32),ABS(BY32-BY33)),100)</f>
        <v>138875000599.97998</v>
      </c>
      <c r="AB32" s="123" t="str">
        <f ca="1">IF(AND(AA32&gt;=0,AA32&lt;90),VLOOKUP(Q32,$BU$30:$BV$33,2,0),"")</f>
        <v/>
      </c>
      <c r="AC32" s="97"/>
      <c r="AD32" s="98"/>
      <c r="AE32" s="477"/>
      <c r="AF32" s="488">
        <f ca="1">VLOOKUP($R32,$AI$30:$AR$33,10,FALSE)</f>
        <v>417406201999.85999</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2</v>
      </c>
      <c r="AP32" s="487">
        <f t="array" aca="1" ref="AP32" ca="1">SUMIFS($K$4:$K$49,$N$4:$N$49,AI32,$K$4:$K$49,"&lt;&gt;",$L$4:$L$49,"&lt;&gt;")+SUMIFS($L$4:$L$49,$I$4:$I$49,AI32,$K$4:$K$49,"&lt;&gt;",$L$4:$L$49,"&lt;&gt;")</f>
        <v>5</v>
      </c>
      <c r="AQ32" s="487">
        <f ca="1">AO32-AP32</f>
        <v>-3</v>
      </c>
      <c r="AR32" s="487">
        <f ca="1">IF(AK32=0,-($AW$14*VLOOKUP(AI32,Tabla3[[NombreEquipo]:[Rank]],3,FALSE)),AJ32*$AW$4+BA32+AQ32*$AW$11+AO32*$AW$12+AL32*$AW$13-($AW$14*VLOOKUP(AI32,Tabla3[[NombreEquipo]:[Rank]],3,FALSE)/100))</f>
        <v>139656170999.85001</v>
      </c>
      <c r="AS32" s="487">
        <f ca="1">AH32</f>
        <v>4</v>
      </c>
      <c r="AT32" s="487"/>
      <c r="AU32" s="487">
        <f ca="1">IFERROR(AR32-VLOOKUP(AI32,$AB$30:$AC$33,2,0),AR32)</f>
        <v>139656170999.85001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-2</v>
      </c>
      <c r="BK32" s="515">
        <f ca="1">BE32-BF31</f>
        <v>0</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1</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139656170999.85001</v>
      </c>
      <c r="BX32" s="212" t="str">
        <f ca="1">VLOOKUP(Q32,$AH$30:$AI$33,2,0)</f>
        <v>Croacia</v>
      </c>
      <c r="BY32" s="212">
        <f ca="1">VLOOKUP($BX32,$AI$30:$AR$33,10,FALSE)</f>
        <v>417406201999.85999</v>
      </c>
      <c r="CA32" s="212">
        <v>3</v>
      </c>
      <c r="CB32" s="212" t="str">
        <f ca="1">VLOOKUP(CA32,$AH$30:$AI$33,2,0)</f>
        <v>Croacia</v>
      </c>
      <c r="CC32" s="212">
        <f ca="1">VLOOKUP(CB32,$AI$30:$AR$33,2,FALSE)</f>
        <v>3</v>
      </c>
      <c r="CD32" s="497">
        <f ca="1">IF(SUM($AK$30:$AK$33)=12,MIN(ABS(BY31-BY32),ABS(BY32-BY33)),100)</f>
        <v>138875000599.97998</v>
      </c>
      <c r="CE32" s="212">
        <f ca="1">VLOOKUP($CB32,$AI$30:$AR$33,9,FALSE)</f>
        <v>0</v>
      </c>
      <c r="CF32" s="212">
        <f ca="1">VLOOKUP($CB32,$AI$30:$AR$33,7,FALSE)</f>
        <v>4</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1</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2</v>
      </c>
      <c r="Y33" s="338">
        <f ca="1">VLOOKUP($R33,$AI$30:$AR$33,8,FALSE)</f>
        <v>5</v>
      </c>
      <c r="Z33" s="339">
        <f ca="1">VLOOKUP($R33,$AI$30:$AR$33,9,FALSE)</f>
        <v>-3</v>
      </c>
      <c r="AA33" s="96">
        <f ca="1">IF(SUM($AK$30:$AK$33)=12,MIN(ABS(BY32-BY33),ABS(BY33-BY34)),100)</f>
        <v>139656170999.85001</v>
      </c>
      <c r="AB33" s="123" t="str">
        <f ca="1">IF(AND(AA33&gt;=0,AA33&lt;90),VLOOKUP(Q33,$BU$30:$BV$33,2,0),"")</f>
        <v/>
      </c>
      <c r="AC33" s="95"/>
      <c r="AD33" s="96"/>
      <c r="AE33" s="476"/>
      <c r="AF33" s="488">
        <f ca="1">VLOOKUP($R33,$AI$30:$AR$33,10,FALSE)</f>
        <v>139656170999.85001</v>
      </c>
      <c r="AG33" s="487">
        <f ca="1">RANK(AU33,$AU$30:$AU$33)</f>
        <v>2</v>
      </c>
      <c r="AH33" s="487">
        <f ca="1">RANK(AR33,$AR$30:$AR$33)</f>
        <v>2</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5</v>
      </c>
      <c r="AP33" s="487">
        <f t="array" aca="1" ref="AP33" ca="1">SUMIFS($K$4:$K$49,$N$4:$N$49,AI33,$K$4:$K$49,"&lt;&gt;",$L$4:$L$49,"&lt;&gt;")+SUMIFS($L$4:$L$49,$I$4:$I$49,AI33,$K$4:$K$49,"&lt;&gt;",$L$4:$L$49,"&lt;&gt;")</f>
        <v>5</v>
      </c>
      <c r="AQ33" s="487">
        <f ca="1">AO33-AP33</f>
        <v>0</v>
      </c>
      <c r="AR33" s="487">
        <f ca="1">IF(AK33=0,-($AW$14*VLOOKUP(AI33,Tabla3[[NombreEquipo]:[Rank]],3,FALSE)),AJ33*$AW$4+BA33+AQ33*$AW$11+AO33*$AW$12+AL33*$AW$13-($AW$14*VLOOKUP(AI33,Tabla3[[NombreEquipo]:[Rank]],3,FALSE)/100))</f>
        <v>556281202599.83997</v>
      </c>
      <c r="AS33" s="487">
        <f ca="1">AH33</f>
        <v>2</v>
      </c>
      <c r="AT33" s="487"/>
      <c r="AU33" s="487">
        <f ca="1">IFERROR(AR33-VLOOKUP(AI33,$AB$30:$AC$33,2,0),AR33)</f>
        <v>556281202599.83997</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1</v>
      </c>
      <c r="BE33" s="515">
        <f t="array" aca="1" ref="BE33" ca="1">SUMIFS($K$28:$K$33,$I$28:$I$33,$AY33,$K$28:$K$33,"&lt;&gt;",$L$28:$L$33,"&lt;&gt;",$N$28:$N$33,BE29)+SUMIFS($L$28:$L$33,$I$28:$I$33,BE29,$K$28:$K$33,"&lt;&gt;",$L$28:$L$33,"&lt;&gt;",$N$28:$N$33,$AY33)</f>
        <v>2</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2</v>
      </c>
      <c r="BV33" s="212" t="str">
        <f ca="1">A32</f>
        <v>República Checa</v>
      </c>
      <c r="BW33" s="212">
        <f ca="1">IF(AK33=0,-($AW$14*VLOOKUP(AI33,Tabla3[[NombreEquipo]:[Rank]],3,FALSE)),AJ33*$AW$4+BA33+AQ33*$AW$11+AO33*$AW$12+AL33*$AW$13-($AW$14*VLOOKUP(AI33,Tabla3[[NombreEquipo]:[Rank]],3,FALSE)/100))</f>
        <v>556281202599.83997</v>
      </c>
      <c r="BX33" s="212" t="str">
        <f ca="1">VLOOKUP(Q33,$AH$30:$AI$33,2,0)</f>
        <v>Escocia</v>
      </c>
      <c r="BY33" s="212">
        <f ca="1">VLOOKUP($BX33,$AI$30:$AR$33,10,FALSE)</f>
        <v>139656170999.85001</v>
      </c>
      <c r="CA33" s="212">
        <v>4</v>
      </c>
      <c r="CB33" s="212" t="str">
        <f ca="1">VLOOKUP(CA33,$AH$30:$AI$33,2,0)</f>
        <v>Escocia</v>
      </c>
      <c r="CC33" s="212">
        <f ca="1">VLOOKUP(CB33,$AI$30:$AR$33,2,FALSE)</f>
        <v>1</v>
      </c>
      <c r="CD33" s="497">
        <f ca="1">IF(SUM($AK$30:$AK$33)=12,MIN(ABS(BY32-BY33),ABS(BY33-BY34)),100)</f>
        <v>139656170999.85001</v>
      </c>
      <c r="CE33" s="212">
        <f ca="1">VLOOKUP($CB33,$AI$30:$AR$33,9,FALSE)</f>
        <v>-3</v>
      </c>
      <c r="CF33" s="212">
        <f ca="1">VLOOKUP($CB33,$AI$30:$AR$33,7,FALSE)</f>
        <v>2</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0</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1</v>
      </c>
      <c r="L37" s="269">
        <v>1</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2</v>
      </c>
      <c r="L38" s="269">
        <v>0</v>
      </c>
      <c r="M38" s="270"/>
      <c r="N38" s="279" t="str">
        <f ca="1">A40</f>
        <v>Eslovaquia</v>
      </c>
      <c r="O38" s="111">
        <f t="shared" si="21"/>
        <v>1</v>
      </c>
      <c r="P38" s="107"/>
      <c r="Q38" s="361">
        <v>1</v>
      </c>
      <c r="R38" s="362" t="str">
        <f ca="1">VLOOKUP(Q38,$AG$38:$AI$41,3,0)</f>
        <v>España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6</v>
      </c>
      <c r="Y38" s="363">
        <f ca="1">VLOOKUP($R38,$AI$38:$AR$41,8,FALSE)</f>
        <v>3</v>
      </c>
      <c r="Z38" s="364">
        <f ca="1">VLOOKUP($R38,$AI$38:$AR$41,9,FALSE)</f>
        <v>3</v>
      </c>
      <c r="AA38" s="96">
        <f ca="1">IF(SUM($AK$38:$AK$41)=12,MIN(ABS(BY37-BY38),ABS(BY38-BY39)),100)</f>
        <v>277750011100.01001</v>
      </c>
      <c r="AB38" s="123" t="str">
        <f ca="1">IF(AND(AA38&gt;=0,AA38&lt;90),VLOOKUP(Q38,$BU$38:$BV$41,2,0),"")</f>
        <v/>
      </c>
      <c r="AC38" s="95"/>
      <c r="AD38" s="96"/>
      <c r="AE38" s="476"/>
      <c r="AF38" s="488">
        <f ca="1">VLOOKUP($R38,$AI$38:$AR$41,10,FALSE)</f>
        <v>972906233199.82996</v>
      </c>
      <c r="AG38" s="487">
        <f ca="1">RANK(AU38,$AU$38:$AU$41)</f>
        <v>1</v>
      </c>
      <c r="AH38" s="487">
        <f ca="1">RANK(AR38,$AR$38:$AR$41)</f>
        <v>1</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3</v>
      </c>
      <c r="AQ38" s="487">
        <f ca="1">AO38-AP38</f>
        <v>3</v>
      </c>
      <c r="AR38" s="487">
        <f ca="1">IF(AK38=0,-($AW$14*VLOOKUP(AI38,Tabla3[[NombreEquipo]:[Rank]],3,FALSE)),AJ38*$AW$4+BA38+AQ38*$AW$11+AO38*$AW$12+AL38*$AW$13-($AW$14*VLOOKUP(AI38,Tabla3[[NombreEquipo]:[Rank]],3,FALSE)/100))</f>
        <v>972906233199.82996</v>
      </c>
      <c r="AS38" s="487">
        <f ca="1">AH38</f>
        <v>1</v>
      </c>
      <c r="AT38" s="487"/>
      <c r="AU38" s="487">
        <f ca="1">IFERROR(AR38-VLOOKUP(AI38,$AB$38:$AC$41,2,0),AR38)</f>
        <v>972906233199.82996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1</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3</v>
      </c>
      <c r="BH38" s="515">
        <f ca="1">RANK(BI38,BI38:BI41,1)</f>
        <v>1</v>
      </c>
      <c r="BI38" s="515">
        <f ca="1">SUM(IF(AND(AJ38=AJ39),BK38,0),IF(AND(AJ38=AJ40),BL38,0),IF(AND(AJ38=AJ41),BM38,0))</f>
        <v>0</v>
      </c>
      <c r="BJ38" s="515">
        <v>0</v>
      </c>
      <c r="BK38" s="515">
        <f ca="1">BE38-BD39</f>
        <v>0</v>
      </c>
      <c r="BL38" s="515">
        <f ca="1">BF38-BD40</f>
        <v>1</v>
      </c>
      <c r="BM38" s="515">
        <f ca="1">BG38-BD41</f>
        <v>2</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972906233199.82996</v>
      </c>
      <c r="BX38" s="212" t="str">
        <f ca="1">VLOOKUP(Q38,$AH$38:$AI$41,2,0)</f>
        <v>España</v>
      </c>
      <c r="BY38" s="212">
        <f ca="1">VLOOKUP($BX38,$AI$38:$AR$41,10,FALSE)</f>
        <v>972906233199.82996</v>
      </c>
      <c r="CA38" s="212">
        <v>1</v>
      </c>
      <c r="CB38" s="212" t="str">
        <f ca="1">VLOOKUP(CA38,$AH$38:$AI$41,2,0)</f>
        <v>España</v>
      </c>
      <c r="CC38" s="212">
        <f ca="1">VLOOKUP(CB38,$AI$38:$AR$41,2,FALSE)</f>
        <v>7</v>
      </c>
      <c r="CD38" s="497">
        <f ca="1">IF(SUM($AK$38:$AK$41)=12,MIN(ABS(BY37-BY38),ABS(BY38-BY39)),100)</f>
        <v>277750011100.01001</v>
      </c>
      <c r="CE38" s="212">
        <f ca="1">VLOOKUP($CB38,$AI$38:$AR$41,9,FALSE)</f>
        <v>3</v>
      </c>
      <c r="CF38" s="212">
        <f ca="1">VLOOKUP($CB38,$AI$38:$AR$41,7,FALSE)</f>
        <v>6</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2</v>
      </c>
      <c r="L39" s="269">
        <v>1</v>
      </c>
      <c r="M39" s="271"/>
      <c r="N39" s="279" t="str">
        <f ca="1">A39</f>
        <v>Polonia</v>
      </c>
      <c r="O39" s="111">
        <f t="shared" si="21"/>
        <v>1</v>
      </c>
      <c r="P39" s="107"/>
      <c r="Q39" s="343">
        <v>2</v>
      </c>
      <c r="R39" s="5" t="str">
        <f ca="1">VLOOKUP(Q39,$AG$38:$AI$41,3,0)</f>
        <v>Suecia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4</v>
      </c>
      <c r="Y39" s="4">
        <f ca="1">VLOOKUP($R39,$AI$38:$AR$41,8,FALSE)</f>
        <v>2</v>
      </c>
      <c r="Z39" s="344">
        <f ca="1">VLOOKUP($R39,$AI$38:$AR$41,9,FALSE)</f>
        <v>2</v>
      </c>
      <c r="AA39" s="96">
        <f ca="1">IF(SUM($AK$38:$AK$41)=12,MIN(ABS(BY38-BY39),ABS(BY39-BY40)),100)</f>
        <v>277750011100.01001</v>
      </c>
      <c r="AB39" s="123" t="str">
        <f ca="1">IF(AND(AA39&gt;=0,AA39&lt;90),VLOOKUP(Q39,$BU$38:$BV$41,2,0),"")</f>
        <v/>
      </c>
      <c r="AC39" s="97"/>
      <c r="AD39" s="98"/>
      <c r="AE39" s="477"/>
      <c r="AF39" s="488">
        <f ca="1">VLOOKUP($R39,$AI$38:$AR$41,10,FALSE)</f>
        <v>695156222099.81995</v>
      </c>
      <c r="AG39" s="487">
        <f ca="1">RANK(AU39,$AU$38:$AU$41)</f>
        <v>2</v>
      </c>
      <c r="AH39" s="487">
        <f ca="1">RANK(AR39,$AR$38:$AR$41)</f>
        <v>2</v>
      </c>
      <c r="AI39" s="212" t="str">
        <f ca="1">A38</f>
        <v>Suecia</v>
      </c>
      <c r="AJ39" s="487">
        <f ca="1">AL39*3+AM39*1+AN39*0</f>
        <v>5</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2</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695156222099.81995</v>
      </c>
      <c r="AS39" s="487">
        <f ca="1">AH39</f>
        <v>2</v>
      </c>
      <c r="AT39" s="487"/>
      <c r="AU39" s="487">
        <f ca="1">IFERROR(AR39-VLOOKUP(AI39,$AB$38:$AC$41,2,0),AR39)</f>
        <v>695156222099.81995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0</v>
      </c>
      <c r="BK39" s="515">
        <v>0</v>
      </c>
      <c r="BL39" s="515">
        <f ca="1">BF39-BE40</f>
        <v>0</v>
      </c>
      <c r="BM39" s="515">
        <f ca="1">BG39-BE41</f>
        <v>2</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1</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695156222099.81995</v>
      </c>
      <c r="BX39" s="212" t="str">
        <f ca="1">VLOOKUP(Q39,$AH$38:$AI$41,2,0)</f>
        <v>Suecia</v>
      </c>
      <c r="BY39" s="212">
        <f ca="1">VLOOKUP($BX39,$AI$38:$AR$41,10,FALSE)</f>
        <v>695156222099.81995</v>
      </c>
      <c r="CA39" s="212">
        <v>2</v>
      </c>
      <c r="CB39" s="212" t="str">
        <f ca="1">VLOOKUP(CA39,$AH$38:$AI$41,2,0)</f>
        <v>Suecia</v>
      </c>
      <c r="CC39" s="212">
        <f ca="1">VLOOKUP(CB39,$AI$38:$AR$41,2,FALSE)</f>
        <v>5</v>
      </c>
      <c r="CD39" s="497">
        <f ca="1">IF(SUM($AK$38:$AK$41)=12,MIN(ABS(BY38-BY39),ABS(BY39-BY40)),100)</f>
        <v>277750011100.01001</v>
      </c>
      <c r="CE39" s="212">
        <f ca="1">VLOOKUP($CB39,$AI$38:$AR$41,9,FALSE)</f>
        <v>2</v>
      </c>
      <c r="CF39" s="212">
        <f ca="1">VLOOKUP($CB39,$AI$38:$AR$41,7,FALSE)</f>
        <v>4</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1</v>
      </c>
      <c r="L40" s="269">
        <v>1</v>
      </c>
      <c r="M40" s="270"/>
      <c r="N40" s="279" t="str">
        <f ca="1">A39</f>
        <v>Polonia</v>
      </c>
      <c r="O40" s="111">
        <f t="shared" si="21"/>
        <v>1</v>
      </c>
      <c r="P40" s="107"/>
      <c r="Q40" s="343">
        <v>3</v>
      </c>
      <c r="R40" s="5" t="str">
        <f ca="1">VLOOKUP(Q40,$AG$38:$AI$41,3,0)</f>
        <v>Polonia</v>
      </c>
      <c r="S40" s="4">
        <f ca="1">VLOOKUP(R40,$AI$38:$AR$41,2,FALSE)</f>
        <v>2</v>
      </c>
      <c r="T40" s="4">
        <f ca="1">VLOOKUP($R40,$AI$38:$AR$41,3,FALSE)</f>
        <v>3</v>
      </c>
      <c r="U40" s="4">
        <f ca="1">VLOOKUP($R40,$AI$38:$AR$41,4,FALSE)</f>
        <v>0</v>
      </c>
      <c r="V40" s="4">
        <f ca="1">VLOOKUP($R40,$AI$38:$AR$41,5,FALSE)</f>
        <v>2</v>
      </c>
      <c r="W40" s="4">
        <f ca="1">VLOOKUP($R40,$AI$38:$AR$41,6,FALSE)</f>
        <v>1</v>
      </c>
      <c r="X40" s="4">
        <f ca="1">VLOOKUP($R40,$AI$38:$AR$41,7,FALSE)</f>
        <v>2</v>
      </c>
      <c r="Y40" s="4">
        <f ca="1">VLOOKUP($R40,$AI$38:$AR$41,8,FALSE)</f>
        <v>3</v>
      </c>
      <c r="Z40" s="344">
        <f ca="1">VLOOKUP($R40,$AI$38:$AR$41,9,FALSE)</f>
        <v>-1</v>
      </c>
      <c r="AA40" s="96">
        <f ca="1">IF(SUM($AK$38:$AK$41)=12,MIN(ABS(BY39-BY40),ABS(BY40-BY41)),100)</f>
        <v>138875030500.01001</v>
      </c>
      <c r="AB40" s="123" t="str">
        <f ca="1">IF(AND(AA40&gt;=0,AA40&lt;90),VLOOKUP(Q40,$BU$38:$BV$41,2,0),"")</f>
        <v/>
      </c>
      <c r="AC40" s="97"/>
      <c r="AD40" s="98"/>
      <c r="AE40" s="477"/>
      <c r="AF40" s="488">
        <f ca="1">VLOOKUP($R40,$AI$38:$AR$41,10,FALSE)</f>
        <v>278531190999.81</v>
      </c>
      <c r="AG40" s="487">
        <f ca="1">RANK(AU40,$AU$38:$AU$41)</f>
        <v>3</v>
      </c>
      <c r="AH40" s="487">
        <f ca="1">RANK(AR40,$AR$38:$AR$41)</f>
        <v>3</v>
      </c>
      <c r="AI40" s="212" t="str">
        <f ca="1">A39</f>
        <v>Polonia</v>
      </c>
      <c r="AJ40" s="487">
        <f ca="1">AL40*3+AM40*1+AN40*0</f>
        <v>2</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2</v>
      </c>
      <c r="AN40" s="487">
        <f t="array" aca="1" ref="AN40" ca="1">SUM(($I$4:$I$49=AI40)*($L$4:$L$49&lt;&gt;"")*($K$4:$K$49&lt;&gt;"")*($K$4:$K$49&lt;$L$4:$L$49),($K$4:$K$49&lt;&gt;"")*($N$4:$N$49=AI40)*($L$4:$L$49&lt;&gt;"")*($K$4:$K$49&gt;$L$4:$L$49))</f>
        <v>1</v>
      </c>
      <c r="AO40" s="487">
        <f t="array" aca="1" ref="AO40" ca="1">SUMIFS($K$4:$K$49,$I$4:$I$49,AI40,$K$4:$K$49,"&lt;&gt;",$L$4:$L$49,"&lt;&gt;")+SUMIFS($L$4:$L$49,$N$4:$N$49,AI40,$K$4:$K$49,"&lt;&gt;",$L$4:$L$49,"&lt;&gt;")</f>
        <v>2</v>
      </c>
      <c r="AP40" s="487">
        <f t="array" aca="1" ref="AP40" ca="1">SUMIFS($K$4:$K$49,$N$4:$N$49,AI40,$K$4:$K$49,"&lt;&gt;",$L$4:$L$49,"&lt;&gt;")+SUMIFS($L$4:$L$49,$I$4:$I$49,AI40,$K$4:$K$49,"&lt;&gt;",$L$4:$L$49,"&lt;&gt;")</f>
        <v>3</v>
      </c>
      <c r="AQ40" s="487">
        <f ca="1">AO40-AP40</f>
        <v>-1</v>
      </c>
      <c r="AR40" s="487">
        <f ca="1">IF(AK40=0,-($AW$14*VLOOKUP(AI40,Tabla3[[NombreEquipo]:[Rank]],3,FALSE)),AJ40*$AW$4+BA40+AQ40*$AW$11+AO40*$AW$12+AL40*$AW$13-($AW$14*VLOOKUP(AI40,Tabla3[[NombreEquipo]:[Rank]],3,FALSE)/100))</f>
        <v>278531190999.81</v>
      </c>
      <c r="AS40" s="487">
        <f ca="1">AH40</f>
        <v>3</v>
      </c>
      <c r="AT40" s="487"/>
      <c r="AU40" s="487">
        <f ca="1">IFERROR(AR40-VLOOKUP(AI40,$AB$38:$AC$41,2,0),AR40)</f>
        <v>278531190999.81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0</v>
      </c>
      <c r="BH40" s="515">
        <f ca="1">RANK(BI40,BI38:BI41,1)</f>
        <v>1</v>
      </c>
      <c r="BI40" s="515">
        <f ca="1">SUM(IF(AND(AJ40=AJ41),BM40,0),IF(AND(AJ40=AJ38),BJ40,0),IF(AND(AJ40=AJ39),BK40,0))</f>
        <v>0</v>
      </c>
      <c r="BJ40" s="515">
        <f ca="1">BD40-BF38</f>
        <v>-1</v>
      </c>
      <c r="BK40" s="515">
        <f ca="1">BE40-BF39</f>
        <v>0</v>
      </c>
      <c r="BL40" s="515">
        <v>0</v>
      </c>
      <c r="BM40" s="515">
        <f ca="1">BG40-BF41</f>
        <v>0</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1</v>
      </c>
      <c r="BR40" s="514">
        <v>0</v>
      </c>
      <c r="BS40" s="514">
        <f t="array" aca="1" ref="BS40" ca="1">SUM((I$4:I$49=AY40)*(N$4:N$49=BS37)*(K$4:K$49&lt;&gt;"")*(L$4:L$49&lt;&gt;"")*(K$4:K$49&gt;L$4:L$49)*3,(N$4:N$49=AY40)*(I$4:I$49=BS37)*(K$4:K$49&lt;&gt;"")*(L$4:L$49&lt;&gt;"")*(K$4:K$49=L$4:L$49)*1,(N$4:N$49=AY40)*(I$4:I$49=BS37)*(K$4:K$49&lt;&gt;"")*(L$4:L$49&lt;&gt;"")*(K$4:K$49&lt;L$4:L$49)*3,(I$4:I$49=AY40)*(N$4:N$49=BS37)*(K$4:K$49&lt;&gt;"")*(L$4:L$49&lt;&gt;"")*(K$4:K$49=L$4:L$49)*1)</f>
        <v>1</v>
      </c>
      <c r="BT40" s="212">
        <v>3</v>
      </c>
      <c r="BU40" s="212">
        <f ca="1">RANK(BW40,$BW$38:$BW$41)</f>
        <v>3</v>
      </c>
      <c r="BV40" s="212" t="str">
        <f ca="1">A39</f>
        <v>Polonia</v>
      </c>
      <c r="BW40" s="212">
        <f ca="1">IF(AK40=0,-($AW$14*VLOOKUP(AI40,Tabla3[[NombreEquipo]:[Rank]],3,FALSE)),AJ40*$AW$4+BA40+AQ40*$AW$11+AO40*$AW$12+AL40*$AW$13-($AW$14*VLOOKUP(AI40,Tabla3[[NombreEquipo]:[Rank]],3,FALSE)/100))</f>
        <v>278531190999.81</v>
      </c>
      <c r="BX40" s="212" t="str">
        <f ca="1">VLOOKUP(Q40,$AH$38:$AI$41,2,0)</f>
        <v>Polonia</v>
      </c>
      <c r="BY40" s="212">
        <f ca="1">VLOOKUP($BX40,$AI$38:$AR$41,10,FALSE)</f>
        <v>278531190999.81</v>
      </c>
      <c r="CA40" s="212">
        <v>3</v>
      </c>
      <c r="CB40" s="212" t="str">
        <f ca="1">VLOOKUP(CA40,$AH$38:$AI$41,2,0)</f>
        <v>Polonia</v>
      </c>
      <c r="CC40" s="212">
        <f ca="1">VLOOKUP(CB40,$AI$38:$AR$41,2,FALSE)</f>
        <v>2</v>
      </c>
      <c r="CD40" s="497">
        <f ca="1">IF(SUM($AK$38:$AK$41)=12,MIN(ABS(BY39-BY40),ABS(BY40-BY41)),100)</f>
        <v>138875030500.01001</v>
      </c>
      <c r="CE40" s="212">
        <f ca="1">VLOOKUP($CB40,$AI$38:$AR$41,9,FALSE)</f>
        <v>-1</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1</v>
      </c>
      <c r="L41" s="284">
        <v>3</v>
      </c>
      <c r="M41" s="285"/>
      <c r="N41" s="286" t="str">
        <f ca="1">A37</f>
        <v>España</v>
      </c>
      <c r="O41" s="111">
        <f t="shared" si="21"/>
        <v>1</v>
      </c>
      <c r="P41" s="107"/>
      <c r="Q41" s="345">
        <v>4</v>
      </c>
      <c r="R41" s="346" t="str">
        <f ca="1">VLOOKUP(Q41,$AG$38:$AI$41,3,0)</f>
        <v>Eslovaquia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1</v>
      </c>
      <c r="Y41" s="347">
        <f ca="1">VLOOKUP($R41,$AI$38:$AR$41,8,FALSE)</f>
        <v>5</v>
      </c>
      <c r="Z41" s="348">
        <f ca="1">VLOOKUP($R41,$AI$38:$AR$41,9,FALSE)</f>
        <v>-4</v>
      </c>
      <c r="AA41" s="96">
        <f ca="1">IF(SUM($AK$38:$AK$41)=12,MIN(ABS(BY40-BY41),ABS(BY41-BY42)),100)</f>
        <v>138875030500.01001</v>
      </c>
      <c r="AB41" s="123" t="str">
        <f ca="1">IF(AND(AA41&gt;=0,AA41&lt;90),VLOOKUP(Q41,$BU$38:$BV$41,2,0),"")</f>
        <v/>
      </c>
      <c r="AC41" s="95"/>
      <c r="AD41" s="96"/>
      <c r="AE41" s="476"/>
      <c r="AF41" s="488">
        <f ca="1">VLOOKUP($R41,$AI$38:$AR$41,10,FALSE)</f>
        <v>139656160499.79999</v>
      </c>
      <c r="AG41" s="487">
        <f ca="1">RANK(AU41,$AU$38:$AU$41)</f>
        <v>4</v>
      </c>
      <c r="AH41" s="487">
        <f ca="1">RANK(AR41,$AR$38:$AR$41)</f>
        <v>4</v>
      </c>
      <c r="AI41" s="212" t="str">
        <f ca="1">A40</f>
        <v>Eslovaquia</v>
      </c>
      <c r="AJ41" s="487">
        <f ca="1">AL41*3+AM41*1+AN41*0</f>
        <v>1</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1</v>
      </c>
      <c r="AN41" s="487">
        <f t="array" aca="1" ref="AN41" ca="1">SUM(($I$4:$I$49=AI41)*($L$4:$L$49&lt;&gt;"")*($K$4:$K$49&lt;&gt;"")*($K$4:$K$49&lt;$L$4:$L$49),($K$4:$K$49&lt;&gt;"")*($N$4:$N$49=AI41)*($L$4:$L$49&lt;&gt;"")*($K$4:$K$49&gt;$L$4:$L$49))</f>
        <v>2</v>
      </c>
      <c r="AO41" s="487">
        <f t="array" aca="1" ref="AO41" ca="1">SUMIFS($K$4:$K$49,$I$4:$I$49,AI41,$K$4:$K$49,"&lt;&gt;",$L$4:$L$49,"&lt;&gt;")+SUMIFS($L$4:$L$49,$N$4:$N$49,AI41,$K$4:$K$49,"&lt;&gt;",$L$4:$L$49,"&lt;&gt;")</f>
        <v>1</v>
      </c>
      <c r="AP41" s="487">
        <f t="array" aca="1" ref="AP41" ca="1">SUMIFS($K$4:$K$49,$N$4:$N$49,AI41,$K$4:$K$49,"&lt;&gt;",$L$4:$L$49,"&lt;&gt;")+SUMIFS($L$4:$L$49,$I$4:$I$49,AI41,$K$4:$K$49,"&lt;&gt;",$L$4:$L$49,"&lt;&gt;")</f>
        <v>5</v>
      </c>
      <c r="AQ41" s="487">
        <f ca="1">AO41-AP41</f>
        <v>-4</v>
      </c>
      <c r="AR41" s="487">
        <f ca="1">IF(AK41=0,-($AW$14*VLOOKUP(AI41,Tabla3[[NombreEquipo]:[Rank]],3,FALSE)),AJ41*$AW$4+BA41+AQ41*$AW$11+AO41*$AW$12+AL41*$AW$13-($AW$14*VLOOKUP(AI41,Tabla3[[NombreEquipo]:[Rank]],3,FALSE)/100))</f>
        <v>139656160499.79999</v>
      </c>
      <c r="AS41" s="487">
        <f ca="1">AH41</f>
        <v>4</v>
      </c>
      <c r="AT41" s="487"/>
      <c r="AU41" s="487">
        <f ca="1">IFERROR(AR41-VLOOKUP(AI41,$AB$38:$AC$41,2,0),AR41)</f>
        <v>139656160499.79999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-2</v>
      </c>
      <c r="BL41" s="515">
        <f ca="1">BF41-BG40</f>
        <v>0</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1</v>
      </c>
      <c r="BS41" s="514">
        <v>0</v>
      </c>
      <c r="BT41" s="212">
        <v>4</v>
      </c>
      <c r="BU41" s="212">
        <f ca="1">RANK(BW41,$BW$38:$BW$41)</f>
        <v>4</v>
      </c>
      <c r="BV41" s="212" t="str">
        <f ca="1">A40</f>
        <v>Eslovaquia</v>
      </c>
      <c r="BW41" s="212">
        <f ca="1">IF(AK41=0,-($AW$14*VLOOKUP(AI41,Tabla3[[NombreEquipo]:[Rank]],3,FALSE)),AJ41*$AW$4+BA41+AQ41*$AW$11+AO41*$AW$12+AL41*$AW$13-($AW$14*VLOOKUP(AI41,Tabla3[[NombreEquipo]:[Rank]],3,FALSE)/100))</f>
        <v>139656160499.79999</v>
      </c>
      <c r="BX41" s="212" t="str">
        <f ca="1">VLOOKUP(Q41,$AH$38:$AI$41,2,0)</f>
        <v>Eslovaquia</v>
      </c>
      <c r="BY41" s="212">
        <f ca="1">VLOOKUP($BX41,$AI$38:$AR$41,10,FALSE)</f>
        <v>139656160499.79999</v>
      </c>
      <c r="CA41" s="212">
        <v>4</v>
      </c>
      <c r="CB41" s="212" t="str">
        <f ca="1">VLOOKUP(CA41,$AH$38:$AI$41,2,0)</f>
        <v>Eslovaquia</v>
      </c>
      <c r="CC41" s="212">
        <f ca="1">VLOOKUP(CB41,$AI$38:$AR$41,2,FALSE)</f>
        <v>1</v>
      </c>
      <c r="CD41" s="497">
        <f ca="1">IF(SUM($AK$38:$AK$41)=12,MIN(ABS(BY40-BY41),ABS(BY41-BY42)),100)</f>
        <v>138875030500.01001</v>
      </c>
      <c r="CE41" s="212">
        <f ca="1">VLOOKUP($CB41,$AI$38:$AR$41,9,FALSE)</f>
        <v>-4</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1</v>
      </c>
      <c r="CR44" s="487">
        <f t="shared" ca="1" si="26"/>
        <v>0</v>
      </c>
      <c r="CS44" s="487">
        <f t="shared" ca="1" si="26"/>
        <v>2</v>
      </c>
      <c r="CT44" s="487">
        <f t="shared" ca="1" si="26"/>
        <v>0</v>
      </c>
      <c r="CU44" s="487">
        <f t="shared" ca="1" si="26"/>
        <v>0</v>
      </c>
      <c r="CV44" s="487">
        <f t="shared" ca="1" si="26"/>
        <v>0</v>
      </c>
      <c r="CW44" s="487">
        <f t="shared" ca="1" si="26"/>
        <v>0</v>
      </c>
      <c r="CX44" s="487">
        <f t="shared" ca="1" si="26"/>
        <v>0</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2</v>
      </c>
      <c r="L45" s="313">
        <v>2</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3</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7</v>
      </c>
      <c r="Y46" s="380">
        <f ca="1">VLOOKUP($R46,$AI$46:$AR$49,8,FALSE)</f>
        <v>4</v>
      </c>
      <c r="Z46" s="381">
        <f ca="1">VLOOKUP($R46,$AI$46:$AR$49,9,FALSE)</f>
        <v>3</v>
      </c>
      <c r="AA46" s="96">
        <f ca="1">IF(SUM($AK$46:$AK$49)=12,MIN(ABS(BY45-BY46),ABS(BY46-BY47)),100)</f>
        <v>500.010009765625</v>
      </c>
      <c r="AB46" s="123" t="str">
        <f ca="1">IF(AND(AA46&gt;=0,AA46&lt;90),VLOOKUP(Q46,$BU$46:$BV$49,2,0),"")</f>
        <v/>
      </c>
      <c r="AC46" s="95"/>
      <c r="AD46" s="96"/>
      <c r="AE46" s="476"/>
      <c r="AF46" s="488">
        <f ca="1">VLOOKUP($R46,$AI$46:$AR$49,10,FALSE)</f>
        <v>974216633699.77002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1</v>
      </c>
      <c r="AP46" s="487">
        <f t="array" aca="1" ref="AP46" ca="1">SUMIFS($K$4:$K$49,$N$4:$N$49,AI46,$K$4:$K$49,"&lt;&gt;",$L$4:$L$49,"&lt;&gt;")+SUMIFS($L$4:$L$49,$I$4:$I$49,AI46,$K$4:$K$49,"&lt;&gt;",$L$4:$L$49,"&lt;&gt;")</f>
        <v>7</v>
      </c>
      <c r="AQ46" s="487">
        <f ca="1">AO46-AP46</f>
        <v>-6</v>
      </c>
      <c r="AR46" s="487">
        <f ca="1">IF(AK46=0,-($AW$14*VLOOKUP(AI46,Tabla3[[NombreEquipo]:[Rank]],3,FALSE)),AJ46*$AW$4+BA46+AQ46*$AW$11+AO46*$AW$12+AL46*$AW$13-($AW$14*VLOOKUP(AI46,Tabla3[[NombreEquipo]:[Rank]],3,FALSE)/100))</f>
        <v>781140499.78999996</v>
      </c>
      <c r="AS46" s="487">
        <f ca="1">AH46</f>
        <v>4</v>
      </c>
      <c r="AT46" s="487"/>
      <c r="AU46" s="487">
        <f ca="1">IFERROR(AR46-VLOOKUP(AI46,$AB$46:$AC$49,2,0),AR46)</f>
        <v>781140499.78999996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0</v>
      </c>
      <c r="BH46" s="515">
        <f ca="1">RANK(BI46,BI46:BI49,1)</f>
        <v>1</v>
      </c>
      <c r="BI46" s="515">
        <f ca="1">SUM(IF(AND(AJ46=AJ47),BK46,0),IF(AND(AJ46=AJ48),BL46,0),IF(AND(AJ46=AJ49),BM46,0))</f>
        <v>0</v>
      </c>
      <c r="BJ46" s="515">
        <v>0</v>
      </c>
      <c r="BK46" s="515">
        <f ca="1">BE46-BD47</f>
        <v>-2</v>
      </c>
      <c r="BL46" s="515">
        <f ca="1">BF46-BD48</f>
        <v>-2</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781140499.78999996</v>
      </c>
      <c r="BX46" s="212" t="str">
        <f ca="1">VLOOKUP(Q46,$AH$46:$AI$49,2,0)</f>
        <v>Francia</v>
      </c>
      <c r="BY46" s="212">
        <f ca="1">VLOOKUP($BX46,$AI$46:$AR$49,10,FALSE)</f>
        <v>974216633699.77002</v>
      </c>
      <c r="CA46" s="212">
        <v>1</v>
      </c>
      <c r="CB46" s="212" t="str">
        <f ca="1">VLOOKUP(CA46,$AH$46:$AI$49,2,0)</f>
        <v>Francia</v>
      </c>
      <c r="CC46" s="212">
        <f ca="1">VLOOKUP(CB46,$AI$46:$AR$49,2,FALSE)</f>
        <v>7</v>
      </c>
      <c r="CD46" s="497">
        <f ca="1">IF(SUM($AK$46:$AK$49)=12,MIN(ABS(BY45-BY46),ABS(BY46-BY47)),100)</f>
        <v>500.010009765625</v>
      </c>
      <c r="CE46" s="212">
        <f ca="1">VLOOKUP($CB46,$AI$46:$AR$49,9,FALSE)</f>
        <v>3</v>
      </c>
      <c r="CF46" s="212">
        <f ca="1">VLOOKUP($CB46,$AI$46:$AR$49,7,FALSE)</f>
        <v>7</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0</v>
      </c>
      <c r="CR46" s="487">
        <f t="array" aca="1" ref="CR46" ca="1">IF(AND($CC$46&lt;&gt;$CC$47,$CC$46&lt;&gt;$CC$49),1,0)</f>
        <v>0</v>
      </c>
      <c r="CS46" s="487">
        <f t="array" aca="1" ref="CS46" ca="1">IF(AND($CC$46&lt;&gt;$CC$47,$CC$46&lt;&gt;$CC$49),1,0)</f>
        <v>0</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0</v>
      </c>
      <c r="CX46" s="487">
        <f t="array" aca="1" ref="CX46" ca="1">IF(AND($CC$46&lt;&gt;$CC$47,$CC$46&lt;&gt;$CC$48),1,0)</f>
        <v>0</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1</v>
      </c>
      <c r="L47" s="313">
        <v>2</v>
      </c>
      <c r="M47" s="315"/>
      <c r="N47" s="323" t="str">
        <f ca="1">A48</f>
        <v>Alemania</v>
      </c>
      <c r="O47" s="111">
        <f t="shared" si="27"/>
        <v>1</v>
      </c>
      <c r="P47" s="107"/>
      <c r="Q47" s="368">
        <v>2</v>
      </c>
      <c r="R47" s="5" t="str">
        <f ca="1">VLOOKUP(Q47,$AG$46:$AI$49,3,0)</f>
        <v>Alemania</v>
      </c>
      <c r="S47" s="4">
        <f ca="1">VLOOKUP(R47,$AI$46:$AR$49,2,FALSE)</f>
        <v>7</v>
      </c>
      <c r="T47" s="4">
        <f ca="1">VLOOKUP($R47,$AI$46:$AR$49,3,FALSE)</f>
        <v>3</v>
      </c>
      <c r="U47" s="4">
        <f ca="1">VLOOKUP($R47,$AI$46:$AR$49,4,FALSE)</f>
        <v>2</v>
      </c>
      <c r="V47" s="4">
        <f ca="1">VLOOKUP($R47,$AI$46:$AR$49,5,FALSE)</f>
        <v>1</v>
      </c>
      <c r="W47" s="4">
        <f ca="1">VLOOKUP($R47,$AI$46:$AR$49,6,FALSE)</f>
        <v>0</v>
      </c>
      <c r="X47" s="4">
        <f ca="1">VLOOKUP($R47,$AI$46:$AR$49,7,FALSE)</f>
        <v>6</v>
      </c>
      <c r="Y47" s="4">
        <f ca="1">VLOOKUP($R47,$AI$46:$AR$49,8,FALSE)</f>
        <v>3</v>
      </c>
      <c r="Z47" s="369">
        <f ca="1">VLOOKUP($R47,$AI$46:$AR$49,9,FALSE)</f>
        <v>3</v>
      </c>
      <c r="AA47" s="96">
        <f ca="1">IF(SUM($AK$46:$AK$49)=12,MIN(ABS(BY46-BY47),ABS(BY47-BY48)),100)</f>
        <v>500.010009765625</v>
      </c>
      <c r="AB47" s="123" t="str">
        <f ca="1">IF(AND(AA47&gt;=0,AA47&lt;90),VLOOKUP(Q47,$BU$46:$BV$49,2,0),"")</f>
        <v/>
      </c>
      <c r="AC47" s="97"/>
      <c r="AD47" s="98"/>
      <c r="AE47" s="477"/>
      <c r="AF47" s="488">
        <f ca="1">VLOOKUP($R47,$AI$46:$AR$49,10,FALSE)</f>
        <v>974216633199.76001</v>
      </c>
      <c r="AG47" s="487">
        <f ca="1">RANK(AU47,$AU$46:$AU$49)</f>
        <v>3</v>
      </c>
      <c r="AH47" s="487">
        <f ca="1">RANK(AR47,$AR$46:$AR$49)</f>
        <v>3</v>
      </c>
      <c r="AI47" s="212" t="str">
        <f ca="1">A46</f>
        <v>Portugal</v>
      </c>
      <c r="AJ47" s="487">
        <f ca="1">AL47*3+AM47*1+AN47*0</f>
        <v>3</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0</v>
      </c>
      <c r="AN47" s="487">
        <f t="array" aca="1" ref="AN47" ca="1">SUM(($I$4:$I$49=AI47)*($L$4:$L$49&lt;&gt;"")*($K$4:$K$49&lt;&gt;"")*($K$4:$K$49&lt;$L$4:$L$49),($K$4:$K$49&lt;&gt;"")*($N$4:$N$49=AI47)*($L$4:$L$49&lt;&gt;"")*($K$4:$K$49&gt;$L$4:$L$49))</f>
        <v>2</v>
      </c>
      <c r="AO47" s="487">
        <f t="array" aca="1" ref="AO47" ca="1">SUMIFS($K$4:$K$49,$I$4:$I$49,AI47,$K$4:$K$49,"&lt;&gt;",$L$4:$L$49,"&lt;&gt;")+SUMIFS($L$4:$L$49,$N$4:$N$49,AI47,$K$4:$K$49,"&lt;&gt;",$L$4:$L$49,"&lt;&gt;")</f>
        <v>4</v>
      </c>
      <c r="AP47" s="487">
        <f t="array" aca="1" ref="AP47" ca="1">SUMIFS($K$4:$K$49,$N$4:$N$49,AI47,$K$4:$K$49,"&lt;&gt;",$L$4:$L$49,"&lt;&gt;")+SUMIFS($L$4:$L$49,$I$4:$I$49,AI47,$K$4:$K$49,"&lt;&gt;",$L$4:$L$49,"&lt;&gt;")</f>
        <v>4</v>
      </c>
      <c r="AQ47" s="487">
        <f ca="1">AO47-AP47</f>
        <v>0</v>
      </c>
      <c r="AR47" s="487">
        <f ca="1">IF(AK47=0,-($AW$14*VLOOKUP(AI47,Tabla3[[NombreEquipo]:[Rank]],3,FALSE)),AJ47*$AW$4+BA47+AQ47*$AW$11+AO47*$AW$12+AL47*$AW$13-($AW$14*VLOOKUP(AI47,Tabla3[[NombreEquipo]:[Rank]],3,FALSE)/100))</f>
        <v>417406202099.78003</v>
      </c>
      <c r="AS47" s="487">
        <f ca="1">AH47</f>
        <v>3</v>
      </c>
      <c r="AT47" s="487"/>
      <c r="AU47" s="487">
        <f ca="1">IFERROR(AR47-VLOOKUP(AI47,$AB$46:$AC$49,2,0),AR47)</f>
        <v>417406202099.78003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2</v>
      </c>
      <c r="BK47" s="515">
        <v>0</v>
      </c>
      <c r="BL47" s="515">
        <f ca="1">BF47-BE48</f>
        <v>-1</v>
      </c>
      <c r="BM47" s="515">
        <f ca="1">BG47-BE49</f>
        <v>-1</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417406202099.78003</v>
      </c>
      <c r="BX47" s="212" t="str">
        <f ca="1">VLOOKUP(Q47,$AH$46:$AI$49,2,0)</f>
        <v>Alemania</v>
      </c>
      <c r="BY47" s="212">
        <f ca="1">VLOOKUP($BX47,$AI$46:$AR$49,10,FALSE)</f>
        <v>974216633199.76001</v>
      </c>
      <c r="CA47" s="212">
        <v>2</v>
      </c>
      <c r="CB47" s="212" t="str">
        <f ca="1">VLOOKUP(CA47,$AH$46:$AI$49,2,0)</f>
        <v>Alemania</v>
      </c>
      <c r="CC47" s="212">
        <f ca="1">VLOOKUP(CB47,$AI$46:$AR$49,2,FALSE)</f>
        <v>7</v>
      </c>
      <c r="CD47" s="497">
        <f ca="1">IF(SUM($AK$46:$AK$49)=12,MIN(ABS(BY46-BY47),ABS(BY47-BY48)),100)</f>
        <v>500.010009765625</v>
      </c>
      <c r="CE47" s="212">
        <f ca="1">VLOOKUP($CB47,$AI$46:$AR$49,9,FALSE)</f>
        <v>3</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0</v>
      </c>
      <c r="M48" s="314"/>
      <c r="N48" s="323" t="str">
        <f ca="1">A45</f>
        <v>Hungría</v>
      </c>
      <c r="O48" s="111">
        <f t="shared" si="27"/>
        <v>1</v>
      </c>
      <c r="P48" s="107"/>
      <c r="Q48" s="368">
        <v>3</v>
      </c>
      <c r="R48" s="5" t="str">
        <f ca="1">VLOOKUP(Q48,$AG$46:$AI$49,3,0)</f>
        <v>Portugal</v>
      </c>
      <c r="S48" s="4">
        <f ca="1">VLOOKUP(R48,$AI$46:$AR$49,2,FALSE)</f>
        <v>3</v>
      </c>
      <c r="T48" s="4">
        <f ca="1">VLOOKUP($R48,$AI$46:$AR$49,3,FALSE)</f>
        <v>3</v>
      </c>
      <c r="U48" s="4">
        <f ca="1">VLOOKUP($R48,$AI$46:$AR$49,4,FALSE)</f>
        <v>1</v>
      </c>
      <c r="V48" s="4">
        <f ca="1">VLOOKUP($R48,$AI$46:$AR$49,5,FALSE)</f>
        <v>0</v>
      </c>
      <c r="W48" s="4">
        <f ca="1">VLOOKUP($R48,$AI$46:$AR$49,6,FALSE)</f>
        <v>2</v>
      </c>
      <c r="X48" s="4">
        <f ca="1">VLOOKUP($R48,$AI$46:$AR$49,7,FALSE)</f>
        <v>4</v>
      </c>
      <c r="Y48" s="4">
        <f ca="1">VLOOKUP($R48,$AI$46:$AR$49,8,FALSE)</f>
        <v>4</v>
      </c>
      <c r="Z48" s="369">
        <f ca="1">VLOOKUP($R48,$AI$46:$AR$49,9,FALSE)</f>
        <v>0</v>
      </c>
      <c r="AA48" s="96">
        <f ca="1">IF(SUM($AK$46:$AK$49)=12,MIN(ABS(BY47-BY48),ABS(BY48-BY49)),100)</f>
        <v>416625061599.99005</v>
      </c>
      <c r="AB48" s="123" t="str">
        <f ca="1">IF(AND(AA48&gt;=0,AA48&lt;90),VLOOKUP(Q48,$BU$46:$BV$49,2,0),"")</f>
        <v/>
      </c>
      <c r="AC48" s="97"/>
      <c r="AD48" s="98"/>
      <c r="AE48" s="477"/>
      <c r="AF48" s="488">
        <f ca="1">VLOOKUP($R48,$AI$46:$AR$49,10,FALSE)</f>
        <v>417406202099.78003</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7</v>
      </c>
      <c r="AP48" s="487">
        <f t="array" aca="1" ref="AP48" ca="1">SUMIFS($K$4:$K$49,$N$4:$N$49,AI48,$K$4:$K$49,"&lt;&gt;",$L$4:$L$49,"&lt;&gt;")+SUMIFS($L$4:$L$49,$I$4:$I$49,AI48,$K$4:$K$49,"&lt;&gt;",$L$4:$L$49,"&lt;&gt;")</f>
        <v>4</v>
      </c>
      <c r="AQ48" s="487">
        <f ca="1">AO48-AP48</f>
        <v>3</v>
      </c>
      <c r="AR48" s="487">
        <f ca="1">IF(AK48=0,-($AW$14*VLOOKUP(AI48,Tabla3[[NombreEquipo]:[Rank]],3,FALSE)),AJ48*$AW$4+BA48+AQ48*$AW$11+AO48*$AW$12+AL48*$AW$13-($AW$14*VLOOKUP(AI48,Tabla3[[NombreEquipo]:[Rank]],3,FALSE)/100))</f>
        <v>974216633699.77002</v>
      </c>
      <c r="AS48" s="487">
        <f ca="1">AH48</f>
        <v>1</v>
      </c>
      <c r="AT48" s="487"/>
      <c r="AU48" s="487">
        <f ca="1">IFERROR(AR48-VLOOKUP(AI48,$AB$46:$AC$49,2,0),AR48)</f>
        <v>974216633699.77002</v>
      </c>
      <c r="AV48" s="487"/>
      <c r="AW48" s="499"/>
      <c r="AX48" s="487"/>
      <c r="AY48" s="496" t="str">
        <f ca="1">AI48</f>
        <v>Francia</v>
      </c>
      <c r="AZ48" s="487">
        <f ca="1">COUNTIF(AJ46:AJ49,AJ48)</f>
        <v>2</v>
      </c>
      <c r="BA48" s="489">
        <f t="shared" ca="1" si="22"/>
        <v>2091600000</v>
      </c>
      <c r="BB48" s="515">
        <f ca="1">RANK(BC48,BC46:BC49,1)</f>
        <v>3</v>
      </c>
      <c r="BC48" s="515">
        <f ca="1">SUM(IF(AND(AJ48=AJ49),BG48,0),IF(AND(AJ48=AJ46),BD48,0),IF(AND(AJ48=AJ47),BE48,0))</f>
        <v>2</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2</v>
      </c>
      <c r="BK48" s="515">
        <f ca="1">BE48-BF47</f>
        <v>1</v>
      </c>
      <c r="BL48" s="515">
        <v>0</v>
      </c>
      <c r="BM48" s="515">
        <f ca="1">BG48-BF49</f>
        <v>0</v>
      </c>
      <c r="BN48" s="514">
        <f ca="1">RANK(BO48,BO46:BO49,1)</f>
        <v>3</v>
      </c>
      <c r="BO48" s="514">
        <f ca="1">SUM(IF(AND(AJ48=AJ49),BS48,0),IF(AND(AJ48=AJ46),BP48,0),IF(AND(AJ48=AJ47),BQ48,0))</f>
        <v>1</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1</v>
      </c>
      <c r="BV48" s="212" t="str">
        <f ca="1">A47</f>
        <v>Francia</v>
      </c>
      <c r="BW48" s="212">
        <f ca="1">IF(AK48=0,-($AW$14*VLOOKUP(AI48,Tabla3[[NombreEquipo]:[Rank]],3,FALSE)),AJ48*$AW$4+BA48+AQ48*$AW$11+AO48*$AW$12+AL48*$AW$13-($AW$14*VLOOKUP(AI48,Tabla3[[NombreEquipo]:[Rank]],3,FALSE)/100))</f>
        <v>974216633699.77002</v>
      </c>
      <c r="BX48" s="212" t="str">
        <f ca="1">VLOOKUP(Q48,$AH$46:$AI$49,2,0)</f>
        <v>Portugal</v>
      </c>
      <c r="BY48" s="212">
        <f ca="1">VLOOKUP($BX48,$AI$46:$AR$49,10,FALSE)</f>
        <v>417406202099.78003</v>
      </c>
      <c r="CA48" s="212">
        <v>3</v>
      </c>
      <c r="CB48" s="212" t="str">
        <f ca="1">VLOOKUP(CA48,$AH$46:$AI$49,2,0)</f>
        <v>Portugal</v>
      </c>
      <c r="CC48" s="212">
        <f ca="1">VLOOKUP(CB48,$AI$46:$AR$49,2,FALSE)</f>
        <v>3</v>
      </c>
      <c r="CD48" s="497">
        <f ca="1">IF(SUM($AK$46:$AK$49)=12,MIN(ABS(BY47-BY48),ABS(BY48-BY49)),100)</f>
        <v>416625061599.99005</v>
      </c>
      <c r="CE48" s="212">
        <f ca="1">VLOOKUP($CB48,$AI$46:$AR$49,9,FALSE)</f>
        <v>0</v>
      </c>
      <c r="CF48" s="212">
        <f ca="1">VLOOKUP($CB48,$AI$46:$AR$49,7,FALSE)</f>
        <v>4</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3</v>
      </c>
      <c r="FJ48" s="489">
        <f ca="1">SUM(IF(AND(AJ48=AJ49,BC48=BC49,BI48=BI49,BO48=BO49),BG48,0),IF(AND(AJ48=AJ46,BC48=BC46,BI48=BI46,BO48=BO46),BD48,0),IF(AND(AJ48=AJ47,BC48=BC47,BI48=BI47,BO48=BO47),BE48,0))</f>
        <v>2</v>
      </c>
      <c r="FK48" s="515">
        <f ca="1">RANK(FL48,FL46:FL49,1)</f>
        <v>1</v>
      </c>
      <c r="FL48" s="489">
        <f ca="1">SUM(IF(AND(AJ48=AJ49,BC48=BC49,BI48=BI49,BO48=BO49),BM48,0),IF(AND(AJ48=AJ46,BC48=BC46,BI48=BI46,BO48=BO46),BJ48,0),IF(AND(AJ48=AJ47,BC48=BC47,BI48=BI47,BO48=BO47),BK48,0))</f>
        <v>0</v>
      </c>
      <c r="FM48" s="515">
        <f ca="1">RANK(FN48,FN46:FN49,1)</f>
        <v>3</v>
      </c>
      <c r="FN48" s="489">
        <f ca="1">SUM(IF(AND(AJ48=AJ49,BC48=BC49,BI48=BI49,BO48=BO49),BS48,0),IF(AND(AJ48=AJ46,BC48=BC46,BI48=BI46,BO48=BO46),BP48,0),IF(AND(AJ48=AJ47,BC48=BC47,BI48=BI47,BO48=BO47),BQ48,0))</f>
        <v>1</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1</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1</v>
      </c>
      <c r="Y49" s="372">
        <f ca="1">VLOOKUP($R49,$AI$46:$AR$49,8,FALSE)</f>
        <v>7</v>
      </c>
      <c r="Z49" s="373">
        <f ca="1">VLOOKUP($R49,$AI$46:$AR$49,9,FALSE)</f>
        <v>-6</v>
      </c>
      <c r="AA49" s="96">
        <f ca="1">IF(SUM($AK$46:$AK$49)=12,MIN(ABS(BY48-BY49),ABS(BY49-BY50)),100)</f>
        <v>781140499.78999996</v>
      </c>
      <c r="AB49" s="123" t="str">
        <f ca="1">IF(AND(AA49&gt;=0,AA49&lt;90),VLOOKUP(Q49,$BU$46:$BV$49,2,0),"")</f>
        <v/>
      </c>
      <c r="AC49" s="95"/>
      <c r="AD49" s="96"/>
      <c r="AE49" s="476"/>
      <c r="AF49" s="488">
        <f ca="1">VLOOKUP($R49,$AI$46:$AR$49,10,FALSE)</f>
        <v>781140499.78999996</v>
      </c>
      <c r="AG49" s="487">
        <f ca="1">RANK(AU49,$AU$46:$AU$49)</f>
        <v>2</v>
      </c>
      <c r="AH49" s="487">
        <f ca="1">RANK(AR49,$AR$46:$AR$49)</f>
        <v>2</v>
      </c>
      <c r="AI49" s="212" t="str">
        <f ca="1">A48</f>
        <v>Alemania</v>
      </c>
      <c r="AJ49" s="487">
        <f ca="1">AL49*3+AM49*1+AN49*0</f>
        <v>7</v>
      </c>
      <c r="AK49" s="487">
        <f ca="1">COUNTIFS($I$4:$I$49,AI49,$K$4:$K$49,"&lt;&gt;",$L$4:$L$49,"&lt;&gt;")+COUNTIFS($N$4:$N$49,AI49,$L$4:$L$49,"&lt;&gt;",$K$4:$K$49,"&lt;&gt;")</f>
        <v>3</v>
      </c>
      <c r="AL49" s="487">
        <f t="array" aca="1" ref="AL49" ca="1">SUM(($I$4:$I$49=AI49)*($K$4:$K$49&lt;&gt;"")*($L$4:$L$49&lt;&gt;"")*($K$4:$K$49&gt;$L$4:$L$49),($N$4:$N$49=AI49)*($K$4:$K$49&lt;&gt;"")*($L$4:$L$49&lt;&gt;"")*($K$4:$K$49&lt;$L$4:$L$49))</f>
        <v>2</v>
      </c>
      <c r="AM49" s="487">
        <f t="array" aca="1" ref="AM49" ca="1">SUM(($I$4:$I$49=AI49)*($K$4:$K$49&lt;&gt;"")*($L$4:$L$49&lt;&gt;"")*($K$4:$K$49=$L$4:$L$49),($N$4:$N$49=AI49)*($K$4:$K$49&lt;&gt;"")*($L$4:$L$49&lt;&gt;"")*($K$4:$K$49=$L$4:$L$49))</f>
        <v>1</v>
      </c>
      <c r="AN49" s="487">
        <f t="array" aca="1" ref="AN49" ca="1">SUM(($I$4:$I$49=AI49)*($L$4:$L$49&lt;&gt;"")*($K$4:$K$49&lt;&gt;"")*($K$4:$K$49&lt;$L$4:$L$49),($K$4:$K$49&lt;&gt;"")*($N$4:$N$49=AI49)*($L$4:$L$49&lt;&gt;"")*($K$4:$K$49&gt;$L$4:$L$49))</f>
        <v>0</v>
      </c>
      <c r="AO49" s="487">
        <f t="array" aca="1" ref="AO49" ca="1">SUMIFS($K$4:$K$49,$I$4:$I$49,AI49,$K$4:$K$49,"&lt;&gt;",$L$4:$L$49,"&lt;&gt;")+SUMIFS($L$4:$L$49,$N$4:$N$49,AI49,$K$4:$K$49,"&lt;&gt;",$L$4:$L$49,"&lt;&gt;")</f>
        <v>6</v>
      </c>
      <c r="AP49" s="487">
        <f t="array" aca="1" ref="AP49" ca="1">SUMIFS($K$4:$K$49,$N$4:$N$49,AI49,$K$4:$K$49,"&lt;&gt;",$L$4:$L$49,"&lt;&gt;")+SUMIFS($L$4:$L$49,$I$4:$I$49,AI49,$K$4:$K$49,"&lt;&gt;",$L$4:$L$49,"&lt;&gt;")</f>
        <v>3</v>
      </c>
      <c r="AQ49" s="487">
        <f ca="1">AO49-AP49</f>
        <v>3</v>
      </c>
      <c r="AR49" s="487">
        <f ca="1">IF(AK49=0,-($AW$14*VLOOKUP(AI49,Tabla3[[NombreEquipo]:[Rank]],3,FALSE)),AJ49*$AW$4+BA49+AQ49*$AW$11+AO49*$AW$12+AL49*$AW$13-($AW$14*VLOOKUP(AI49,Tabla3[[NombreEquipo]:[Rank]],3,FALSE)/100))</f>
        <v>974216633199.76001</v>
      </c>
      <c r="AS49" s="487">
        <f ca="1">AH49</f>
        <v>2</v>
      </c>
      <c r="AT49" s="487"/>
      <c r="AU49" s="487">
        <f ca="1">IFERROR(AR49-VLOOKUP(AI49,$AB$46:$AC$49,2,0),AR49)</f>
        <v>974216633199.76001</v>
      </c>
      <c r="AV49" s="487"/>
      <c r="AW49" s="499"/>
      <c r="AX49" s="487"/>
      <c r="AY49" s="496" t="str">
        <f ca="1">AI49</f>
        <v>Alemania</v>
      </c>
      <c r="AZ49" s="487">
        <f ca="1">COUNTIF(AJ46:AJ49,AJ49)</f>
        <v>2</v>
      </c>
      <c r="BA49" s="489">
        <f t="shared" ca="1" si="22"/>
        <v>2091600000</v>
      </c>
      <c r="BB49" s="515">
        <f ca="1">RANK(BC49,BC46:BC49,1)</f>
        <v>3</v>
      </c>
      <c r="BC49" s="515">
        <f ca="1">SUM(IF(AND(AJ49=AJ46),BD49,0),IF(AND(AJ49=AJ47),BE49,0),IF(AND(AJ49=AJ48),BF49,0))</f>
        <v>2</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2</v>
      </c>
      <c r="BG49" s="515">
        <v>0</v>
      </c>
      <c r="BH49" s="515">
        <f ca="1">RANK(BI49,BI46:BI49,1)</f>
        <v>1</v>
      </c>
      <c r="BI49" s="515">
        <f ca="1">SUM(IF(AND(AJ49=AJ46),BJ49,0),IF(AND(AJ49=AJ47),BK49,0),IF(AND(AJ49=AJ48),BL49,0))</f>
        <v>0</v>
      </c>
      <c r="BJ49" s="515">
        <f ca="1">BD49-BG46</f>
        <v>2</v>
      </c>
      <c r="BK49" s="515">
        <f ca="1">BE49-BG47</f>
        <v>1</v>
      </c>
      <c r="BL49" s="515">
        <f ca="1">BF49-BG48</f>
        <v>0</v>
      </c>
      <c r="BM49" s="515">
        <v>0</v>
      </c>
      <c r="BN49" s="514">
        <f ca="1">RANK(BO49,BO46:BO49,1)</f>
        <v>3</v>
      </c>
      <c r="BO49" s="514">
        <f ca="1">SUM(IF(AND(AJ49=AJ46),BP49,0),IF(AND(AJ49=AJ47),BQ49,0),IF(AND(AJ49=AJ48),BR49,0))</f>
        <v>1</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2</v>
      </c>
      <c r="BV49" s="212" t="str">
        <f ca="1">A48</f>
        <v>Alemania</v>
      </c>
      <c r="BW49" s="212">
        <f ca="1">IF(AK49=0,-($AW$14*VLOOKUP(AI49,Tabla3[[NombreEquipo]:[Rank]],3,FALSE)),AJ49*$AW$4+BA49+AQ49*$AW$11+AO49*$AW$12+AL49*$AW$13-($AW$14*VLOOKUP(AI49,Tabla3[[NombreEquipo]:[Rank]],3,FALSE)/100))</f>
        <v>974216633199.76001</v>
      </c>
      <c r="BX49" s="212" t="str">
        <f ca="1">VLOOKUP(Q49,$AH$46:$AI$49,2,0)</f>
        <v>Hungría</v>
      </c>
      <c r="BY49" s="212">
        <f ca="1">VLOOKUP($BX49,$AI$46:$AR$49,10,FALSE)</f>
        <v>781140499.78999996</v>
      </c>
      <c r="CA49" s="212">
        <v>4</v>
      </c>
      <c r="CB49" s="212" t="str">
        <f ca="1">VLOOKUP(CA49,$AH$46:$AI$49,2,0)</f>
        <v>Hungría</v>
      </c>
      <c r="CC49" s="212">
        <f ca="1">VLOOKUP(CB49,$AI$46:$AR$49,2,FALSE)</f>
        <v>0</v>
      </c>
      <c r="CD49" s="497">
        <f ca="1">IF(SUM($AK$46:$AK$49)=12,MIN(ABS(BY48-BY49),ABS(BY49-BY50)),100)</f>
        <v>781140499.78999996</v>
      </c>
      <c r="CE49" s="212">
        <f ca="1">VLOOKUP($CB49,$AI$46:$AR$49,9,FALSE)</f>
        <v>-6</v>
      </c>
      <c r="CF49" s="212">
        <f ca="1">VLOOKUP($CB49,$AI$46:$AR$49,7,FALSE)</f>
        <v>1</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2</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2</v>
      </c>
      <c r="F52" s="528" t="str">
        <f ca="1">CONCATENATE("¡EN LA FASE DE GRUPOS HAY EMPATES EN EL GRUPO ,",IF(COUNTIF(AA6:AA9,"&lt;100")=0,"","A, "),IF(COUNTIF(AA14:AA17,"&lt;100")=0,"","B,"),IF(COUNTIF(AA22:AA25,"&lt;100")=0,"","C, "),IF(COUNTIF(AA30:AA33,"&lt;100")=0,"","D, "),IF(COUNTIF(AA38:AA41,"&lt;100")=0,"","E, "),IF(COUNTIF(AA46:AA49,"&lt;100")=0,"","F"),"!")</f>
        <v>¡EN LA FASE DE GRUPOS HAY EMPATES EN EL GRUPO ,C,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C,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2</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1</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2</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Gales</v>
      </c>
      <c r="B57" s="210"/>
      <c r="C57" s="210"/>
      <c r="D57" s="213"/>
      <c r="E57" s="392">
        <v>1</v>
      </c>
      <c r="F57" s="393" t="str">
        <f ca="1">IF(SUM($AK$77:$AK$82)=18,VLOOKUP(E57,$AG$57:$AI$62,3,0),"3A")</f>
        <v>Austria</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4</v>
      </c>
      <c r="M57" s="395">
        <f ca="1">IF(SUM($AK$77:$AK$82)=18,VLOOKUP($F57,$AI$57:$AR$62,8,FALSE),"3A")</f>
        <v>5</v>
      </c>
      <c r="N57" s="396">
        <f ca="1">IF(SUM($AK$77:$AK$82)=18,VLOOKUP($F57,$AI$57:$AR$62,9,FALSE),"3A")</f>
        <v>-1</v>
      </c>
      <c r="O57" s="96">
        <f t="shared" ref="O57:O61" ca="1" si="72">IF(SUM($AK$57:$AK$62)=18,MIN(ABS(BY56-BY57),ABS(BY57-BY58)),100)</f>
        <v>138874990000.10999</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555499992099.89001</v>
      </c>
      <c r="AG57" s="487">
        <f t="shared" ref="AG57:AG62" ca="1" si="75">RANK(AU57,$AU$57:$AU$62)</f>
        <v>4</v>
      </c>
      <c r="AH57" s="487">
        <f t="shared" ref="AH57:AH62" ca="1" si="76">RANK(AR57,$AR$57:$AR$62)</f>
        <v>4</v>
      </c>
      <c r="AI57" s="212" t="str">
        <f ca="1">IF($AH$76=72,VLOOKUP(3,$AG$6:$AI$9,3,0),"3A")</f>
        <v>Gales</v>
      </c>
      <c r="AJ57" s="212">
        <f ca="1">IF($AH$76=72,VLOOKUP(3,$AG$6:$AR$9,4,0),0)</f>
        <v>3</v>
      </c>
      <c r="AK57" s="212">
        <f ca="1">IF($AH$76=72,VLOOKUP(3,$AG$6:$AR$9,5,0),0)</f>
        <v>3</v>
      </c>
      <c r="AL57" s="212">
        <f ca="1">IF($AH$76=72,VLOOKUP(3,$AG$6:$AR$9,6,0),0)</f>
        <v>1</v>
      </c>
      <c r="AM57" s="212">
        <f ca="1">IF($AH$76=72,VLOOKUP(3,$AG$6:$AR$9,7,0),0)</f>
        <v>0</v>
      </c>
      <c r="AN57" s="212">
        <f ca="1">IF($AH$76=72,VLOOKUP(3,$AG$6:$AR$9,8,0),0)</f>
        <v>2</v>
      </c>
      <c r="AO57" s="212">
        <f ca="1">IF($AH$76=72,VLOOKUP(3,$AG$6:$AR$9,9,0),0)</f>
        <v>4</v>
      </c>
      <c r="AP57" s="212">
        <f ca="1">IF($AH$76=72,VLOOKUP(3,$AG$6:$AR$9,10,0),0)</f>
        <v>5</v>
      </c>
      <c r="AQ57" s="212">
        <f ca="1">IF($AH$76=72,VLOOKUP(3,$AG$6:$AR$9,11,0),0)</f>
        <v>-1</v>
      </c>
      <c r="AR57" s="487">
        <f ca="1">IF(AK57=0,1,AJ57*$AW$4+AQ57*$AW$11+AO57*$AW$12+AL57*$AW$13-($AW$14*VLOOKUP(AI57,Tabla3[[NombreEquipo]:[Rank]],3,FALSE)/100))</f>
        <v>416624992099.96997</v>
      </c>
      <c r="AS57" s="487">
        <f t="shared" ref="AS57:AS62" ca="1" si="77">AH57</f>
        <v>4</v>
      </c>
      <c r="AT57" s="487"/>
      <c r="AU57" s="487">
        <f t="shared" ref="AU57:AU62" ca="1" si="78">IFERROR(AR57-VLOOKUP(AI57,$P$57:$Q$62,2,0),AR57)</f>
        <v>416624992099.96997</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4</v>
      </c>
      <c r="BV57" s="212" t="str">
        <f t="shared" ref="BV57:BV62" ca="1" si="79">A57</f>
        <v>Gales</v>
      </c>
      <c r="BW57" s="487">
        <f ca="1">IF(SUM($AK$6:$AK$9)=12,AJ57*$AW$4+AQ57*$AW$11+AO57*$AW$12+AL57*$AW$13-($AW$14*1/100),"3A")</f>
        <v>416624992099.98999</v>
      </c>
      <c r="BX57" s="212" t="str">
        <f t="shared" ref="BX57:BX62" ca="1" si="80">VLOOKUP(E57,$AH$57:$AI$62,2,0)</f>
        <v>Austria</v>
      </c>
      <c r="BY57" s="212">
        <f t="shared" ref="BY57:BY62" ca="1" si="81">VLOOKUP($BX57,$AI$57:$AR$62,10,FALSE)</f>
        <v>555499992099.89001</v>
      </c>
      <c r="CA57" s="212">
        <v>1</v>
      </c>
      <c r="CB57" s="212" t="str">
        <f t="shared" ref="CB57:CB62" ca="1" si="82">VLOOKUP(CA57,$AH$57:$AI$62,2,0)</f>
        <v>Austria</v>
      </c>
      <c r="CC57" s="212">
        <f t="shared" ref="CC57:CC62" ca="1" si="83">VLOOKUP(CB57,$AI$57:$AR$62,2,FALSE)</f>
        <v>4</v>
      </c>
      <c r="CD57" s="497">
        <f t="shared" ref="CD57:CD62" ca="1" si="84">IF(SUM($AK$57:$AK$62)=18,MIN(ABS(BY56-BY57),ABS(BY57-BY58)),100)</f>
        <v>138874990000.10999</v>
      </c>
      <c r="CE57" s="212">
        <f t="shared" ref="CE57:CE62" ca="1" si="85">VLOOKUP($CB57,$AI$57:$AR$62,9,FALSE)</f>
        <v>-1</v>
      </c>
      <c r="CF57" s="212">
        <f t="shared" ref="CF57:CF62" ca="1" si="86">VLOOKUP($CB57,$AI$57:$AR$62,7,FALSE)</f>
        <v>4</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Portugal</v>
      </c>
      <c r="G58" s="264">
        <f ca="1">IF(SUM($AK$77:$AK$82)=18,VLOOKUP(F58,$AI$57:$AR$62,2,FALSE),"3B")</f>
        <v>3</v>
      </c>
      <c r="H58" s="264">
        <f ca="1">IF(SUM($AK$77:$AK$82)=18,VLOOKUP($F58,$AI$57:$AR$62,3,FALSE),"3B")</f>
        <v>3</v>
      </c>
      <c r="I58" s="264">
        <f ca="1">IF(SUM($AK$77:$AK$82)=18,VLOOKUP($F58,$AI$57:$AR$62,4,FALSE),"3B")</f>
        <v>1</v>
      </c>
      <c r="J58" s="264">
        <f ca="1">IF(SUM($AK$77:$AK$82)=18,VLOOKUP($F58,$AI$57:$AR$62,5,FALSE),"3B")</f>
        <v>0</v>
      </c>
      <c r="K58" s="264">
        <f ca="1">IF(SUM($AK$77:$AK$82)=18,VLOOKUP($F58,$AI$57:$AR$62,6,FALSE),"3B")</f>
        <v>2</v>
      </c>
      <c r="L58" s="264">
        <f ca="1">IF(SUM($AK$77:$AK$82)=18,VLOOKUP($F58,$AI$57:$AR$62,7,FALSE),"3B")</f>
        <v>4</v>
      </c>
      <c r="M58" s="264">
        <f ca="1">IF(SUM($AK$77:$AK$82)=18,VLOOKUP($F58,$AI$57:$AR$62,8,FALSE),"3B")</f>
        <v>4</v>
      </c>
      <c r="N58" s="386">
        <f ca="1">IF(SUM($AK$77:$AK$82)=18,VLOOKUP($F58,$AI$57:$AR$62,9,FALSE),"3B")</f>
        <v>0</v>
      </c>
      <c r="O58" s="96">
        <f t="shared" ca="1" si="72"/>
        <v>99.9200439453125</v>
      </c>
      <c r="P58" s="123" t="str">
        <f t="shared" ca="1" si="73"/>
        <v/>
      </c>
      <c r="Q58" s="262"/>
      <c r="R58" s="93"/>
      <c r="S58" s="100"/>
      <c r="T58" s="100"/>
      <c r="U58" s="100"/>
      <c r="V58" s="100"/>
      <c r="W58" s="100"/>
      <c r="X58" s="100"/>
      <c r="Y58" s="100"/>
      <c r="Z58" s="100"/>
      <c r="AA58" s="100"/>
      <c r="AB58" s="100"/>
      <c r="AC58" s="100"/>
      <c r="AD58" s="100"/>
      <c r="AE58" s="475"/>
      <c r="AF58" s="488">
        <f t="shared" ca="1" si="74"/>
        <v>416625002099.78003</v>
      </c>
      <c r="AG58" s="487">
        <f t="shared" ca="1" si="75"/>
        <v>5</v>
      </c>
      <c r="AH58" s="487">
        <f t="shared" ca="1" si="76"/>
        <v>5</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2</v>
      </c>
      <c r="AP58" s="212">
        <f ca="1">IF($AH$76=72,VLOOKUP(3,$AG$14:$AR$17,10,0),0)</f>
        <v>4</v>
      </c>
      <c r="AQ58" s="212">
        <f ca="1">IF($AH$76=72,VLOOKUP(3,$AG$14:$AR$17,11,0),0)</f>
        <v>-2</v>
      </c>
      <c r="AR58" s="487">
        <f ca="1">IF(AK58=0,2,AJ58*$AW$4+AQ58*$AW$11+AO58*$AW$12+AL58*$AW$13-($AW$14*VLOOKUP(AI58,Tabla3[[NombreEquipo]:[Rank]],3,FALSE)/100))</f>
        <v>416624981099.95001</v>
      </c>
      <c r="AS58" s="487">
        <f t="shared" ca="1" si="77"/>
        <v>5</v>
      </c>
      <c r="AT58" s="487"/>
      <c r="AU58" s="487">
        <f t="shared" ca="1" si="78"/>
        <v>416624981099.95001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Dinamarca</v>
      </c>
      <c r="BW58" s="212">
        <f ca="1">IF(SUM($AK$14:$AK$17)=12,AJ58*$AW$4+AQ58*$AW$11+AO58*$AW$12+AL58*$AW$13-($AW$14*2/100),"3B")</f>
        <v>416624981099.97998</v>
      </c>
      <c r="BX58" s="212" t="str">
        <f t="shared" ca="1" si="80"/>
        <v>Portugal</v>
      </c>
      <c r="BY58" s="212">
        <f t="shared" ca="1" si="81"/>
        <v>416625002099.78003</v>
      </c>
      <c r="CA58" s="212">
        <v>2</v>
      </c>
      <c r="CB58" s="212" t="str">
        <f t="shared" ca="1" si="82"/>
        <v>Portugal</v>
      </c>
      <c r="CC58" s="212">
        <f t="shared" ca="1" si="83"/>
        <v>3</v>
      </c>
      <c r="CD58" s="497">
        <f t="shared" ca="1" si="84"/>
        <v>99.9200439453125</v>
      </c>
      <c r="CE58" s="212">
        <f t="shared" ca="1" si="85"/>
        <v>0</v>
      </c>
      <c r="CF58" s="212">
        <f t="shared" ca="1" si="86"/>
        <v>4</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1</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Croacia</v>
      </c>
      <c r="G59" s="264">
        <f ca="1">IF(SUM($AK$77:$AK$82)=18,VLOOKUP(F59,$AI$57:$AR$62,2,FALSE),"3C")</f>
        <v>3</v>
      </c>
      <c r="H59" s="264">
        <f ca="1">IF(SUM($AK$77:$AK$82)=18,VLOOKUP($F59,$AI$57:$AR$62,3,FALSE),"3C")</f>
        <v>3</v>
      </c>
      <c r="I59" s="264">
        <f ca="1">IF(SUM($AK$77:$AK$82)=18,VLOOKUP($F59,$AI$57:$AR$62,4,FALSE),"3C")</f>
        <v>0</v>
      </c>
      <c r="J59" s="264">
        <f ca="1">IF(SUM($AK$77:$AK$82)=18,VLOOKUP($F59,$AI$57:$AR$62,5,FALSE),"3C")</f>
        <v>3</v>
      </c>
      <c r="K59" s="264">
        <f ca="1">IF(SUM($AK$77:$AK$82)=18,VLOOKUP($F59,$AI$57:$AR$62,6,FALSE),"3C")</f>
        <v>0</v>
      </c>
      <c r="L59" s="264">
        <f ca="1">IF(SUM($AK$77:$AK$82)=18,VLOOKUP($F59,$AI$57:$AR$62,7,FALSE),"3C")</f>
        <v>4</v>
      </c>
      <c r="M59" s="264">
        <f ca="1">IF(SUM($AK$77:$AK$82)=18,VLOOKUP($F59,$AI$57:$AR$62,8,FALSE),"3C")</f>
        <v>4</v>
      </c>
      <c r="N59" s="386">
        <f ca="1">IF(SUM($AK$77:$AK$82)=18,VLOOKUP($F59,$AI$57:$AR$62,9,FALSE),"3C")</f>
        <v>0</v>
      </c>
      <c r="O59" s="96">
        <f t="shared" ca="1" si="72"/>
        <v>99.9200439453125</v>
      </c>
      <c r="P59" s="123" t="str">
        <f t="shared" ca="1" si="73"/>
        <v/>
      </c>
      <c r="Q59" s="262"/>
      <c r="R59" s="93"/>
      <c r="S59" s="100"/>
      <c r="T59" s="100"/>
      <c r="U59" s="100"/>
      <c r="V59" s="100"/>
      <c r="W59" s="100"/>
      <c r="X59" s="100"/>
      <c r="Y59" s="100"/>
      <c r="Z59" s="100"/>
      <c r="AA59" s="100"/>
      <c r="AB59" s="100"/>
      <c r="AC59" s="100"/>
      <c r="AD59" s="100"/>
      <c r="AE59" s="475"/>
      <c r="AF59" s="488">
        <f t="shared" ca="1" si="74"/>
        <v>416625001999.85999</v>
      </c>
      <c r="AG59" s="487">
        <f t="shared" ca="1" si="75"/>
        <v>1</v>
      </c>
      <c r="AH59" s="487">
        <f t="shared" ca="1" si="76"/>
        <v>1</v>
      </c>
      <c r="AI59" s="212" t="str">
        <f ca="1">IF($AH$76=72,VLOOKUP(3,$AG$22:$AI$25,3,0),"3C")</f>
        <v>Austria</v>
      </c>
      <c r="AJ59" s="212">
        <f ca="1">IF($AH$76=72,VLOOKUP(3,$AG$22:$AR$25,4,0),0)</f>
        <v>4</v>
      </c>
      <c r="AK59" s="212">
        <f ca="1">IF($AH$76=72,VLOOKUP(3,$AG$22:$AR$25,5,0),0)</f>
        <v>3</v>
      </c>
      <c r="AL59" s="212">
        <f ca="1">IF($AH$76=72,VLOOKUP(3,$AG$22:$AR$25,6,0),0)</f>
        <v>1</v>
      </c>
      <c r="AM59" s="212">
        <f ca="1">IF($AH$76=72,VLOOKUP(3,$AG$22:$AR$25,7,0),0)</f>
        <v>1</v>
      </c>
      <c r="AN59" s="212">
        <f ca="1">IF($AH$76=72,VLOOKUP(3,$AG$22:$AR$25,8,0),0)</f>
        <v>1</v>
      </c>
      <c r="AO59" s="212">
        <f ca="1">IF($AH$76=72,VLOOKUP(3,$AG$22:$AR$25,9,0),0)</f>
        <v>4</v>
      </c>
      <c r="AP59" s="212">
        <f ca="1">IF($AH$76=72,VLOOKUP(3,$AG$22:$AR$25,10,0),0)</f>
        <v>5</v>
      </c>
      <c r="AQ59" s="212">
        <f ca="1">IF($AH$76=72,VLOOKUP(3,$AG$22:$AR$25,11,0),0)</f>
        <v>-1</v>
      </c>
      <c r="AR59" s="487">
        <f ca="1">IF(AK59=0,3,AJ59*$AW$4+AQ59*$AW$11+AO59*$AW$12+AL59*$AW$13-($AW$14*VLOOKUP(AI59,Tabla3[[NombreEquipo]:[Rank]],3,FALSE)/100))</f>
        <v>555499992099.89001</v>
      </c>
      <c r="AS59" s="487">
        <f t="shared" ca="1" si="77"/>
        <v>1</v>
      </c>
      <c r="AT59" s="487"/>
      <c r="AU59" s="487">
        <f t="shared" ca="1" si="78"/>
        <v>555499992099.89001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1</v>
      </c>
      <c r="BV59" s="212" t="str">
        <f t="shared" ca="1" si="79"/>
        <v>Austria</v>
      </c>
      <c r="BW59" s="212">
        <f ca="1">IF(SUM($AK$22:$AK$25)=12,AJ59*$AW$4+AQ59*$AW$11+AO59*$AW$12+AL59*$AW$13-($AW$14*3/100),"3C")</f>
        <v>555499992099.96997</v>
      </c>
      <c r="BX59" s="212" t="str">
        <f t="shared" ca="1" si="80"/>
        <v>Croacia</v>
      </c>
      <c r="BY59" s="212">
        <f t="shared" ca="1" si="81"/>
        <v>416625001999.85999</v>
      </c>
      <c r="CA59" s="212">
        <v>3</v>
      </c>
      <c r="CB59" s="212" t="str">
        <f t="shared" ca="1" si="82"/>
        <v>Croacia</v>
      </c>
      <c r="CC59" s="212">
        <f t="shared" ca="1" si="83"/>
        <v>3</v>
      </c>
      <c r="CD59" s="497">
        <f t="shared" ca="1" si="84"/>
        <v>99.9200439453125</v>
      </c>
      <c r="CE59" s="212">
        <f t="shared" ca="1" si="85"/>
        <v>0</v>
      </c>
      <c r="CF59" s="212">
        <f t="shared" ca="1" si="86"/>
        <v>4</v>
      </c>
      <c r="CG59" s="212">
        <f t="shared" ca="1" si="87"/>
        <v>0</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Croacia</v>
      </c>
      <c r="B60" s="103"/>
      <c r="C60" s="103"/>
      <c r="D60" s="124"/>
      <c r="E60" s="385">
        <v>4</v>
      </c>
      <c r="F60" s="263" t="str">
        <f ca="1">IF(SUM($AK$77:$AK$82)=18,VLOOKUP(E60,$AG$57:$AI$62,3,0),"3D")</f>
        <v>Gales</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9899.8900146484375</v>
      </c>
      <c r="P60" s="123" t="str">
        <f t="shared" ca="1" si="73"/>
        <v/>
      </c>
      <c r="Q60" s="262"/>
      <c r="R60" s="93"/>
      <c r="S60" s="100"/>
      <c r="T60" s="100"/>
      <c r="U60" s="100"/>
      <c r="V60" s="100"/>
      <c r="W60" s="100"/>
      <c r="X60" s="100"/>
      <c r="Y60" s="100"/>
      <c r="Z60" s="100"/>
      <c r="AA60" s="100"/>
      <c r="AB60" s="100"/>
      <c r="AC60" s="100"/>
      <c r="AD60" s="100"/>
      <c r="AE60" s="475"/>
      <c r="AF60" s="488">
        <f t="shared" ca="1" si="74"/>
        <v>416624992099.96997</v>
      </c>
      <c r="AG60" s="487">
        <f t="shared" ca="1" si="75"/>
        <v>3</v>
      </c>
      <c r="AH60" s="487">
        <f t="shared" ca="1" si="76"/>
        <v>3</v>
      </c>
      <c r="AI60" s="212" t="str">
        <f ca="1">IF($AH$76=72,VLOOKUP(3,$AG$30:$AI$33,3,0),"3D")</f>
        <v>Croacia</v>
      </c>
      <c r="AJ60" s="212">
        <f ca="1">IF($AH$76=72,VLOOKUP(3,$AG$30:$AR$33,4,0),0)</f>
        <v>3</v>
      </c>
      <c r="AK60" s="212">
        <f ca="1">IF($AH$76=72,VLOOKUP(3,$AG$30:$AR$33,5,0),0)</f>
        <v>3</v>
      </c>
      <c r="AL60" s="212">
        <f ca="1">IF($AH$76=72,VLOOKUP(3,$AG$30:$AR$33,6,0),0)</f>
        <v>0</v>
      </c>
      <c r="AM60" s="212">
        <f ca="1">IF($AH$76=72,VLOOKUP(3,$AG$30:$AR$33,7,0),0)</f>
        <v>3</v>
      </c>
      <c r="AN60" s="212">
        <f ca="1">IF($AH$76=72,VLOOKUP(3,$AG$30:$AR$33,8,0),0)</f>
        <v>0</v>
      </c>
      <c r="AO60" s="212">
        <f ca="1">IF($AH$76=72,VLOOKUP(3,$AG$30:$AR$33,9,0),0)</f>
        <v>4</v>
      </c>
      <c r="AP60" s="212">
        <f ca="1">IF($AH$76=72,VLOOKUP(3,$AG$30:$AR$33,10,0),0)</f>
        <v>4</v>
      </c>
      <c r="AQ60" s="212">
        <f ca="1">IF($AH$76=72,VLOOKUP(3,$AG$30:$AR$33,11,0),0)</f>
        <v>0</v>
      </c>
      <c r="AR60" s="487">
        <f ca="1">IF(AK60=0,4,AJ60*$AW$4+AQ60*$AW$11+AO60*$AW$12+AL60*$AW$13-($AW$14*VLOOKUP(AI60,Tabla3[[NombreEquipo]:[Rank]],3,FALSE)/100))</f>
        <v>416625001999.85999</v>
      </c>
      <c r="AS60" s="487">
        <f t="shared" ca="1" si="77"/>
        <v>3</v>
      </c>
      <c r="AT60" s="487"/>
      <c r="AU60" s="487">
        <f t="shared" ca="1" si="78"/>
        <v>416625001999.85999</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3</v>
      </c>
      <c r="BV60" s="212" t="str">
        <f t="shared" ca="1" si="79"/>
        <v>Croacia</v>
      </c>
      <c r="BW60" s="487">
        <f ca="1">IF(SUM($AK$30:$AK$33)=12,AJ60*$AW$4+AQ60*$AW$11+AO60*$AW$12+AL60*$AW$13-($AW$14*4/100),"3D")</f>
        <v>416625001999.96002</v>
      </c>
      <c r="BX60" s="212" t="str">
        <f t="shared" ca="1" si="80"/>
        <v>Gales</v>
      </c>
      <c r="BY60" s="212">
        <f t="shared" ca="1" si="81"/>
        <v>416624992099.96997</v>
      </c>
      <c r="CA60" s="212">
        <v>4</v>
      </c>
      <c r="CB60" s="212" t="str">
        <f t="shared" ca="1" si="82"/>
        <v>Gales</v>
      </c>
      <c r="CC60" s="212">
        <f t="shared" ca="1" si="83"/>
        <v>3</v>
      </c>
      <c r="CD60" s="497">
        <f t="shared" ca="1" si="84"/>
        <v>9899.8900146484375</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1</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Polonia</v>
      </c>
      <c r="B61" s="103"/>
      <c r="C61" s="103"/>
      <c r="D61" s="124"/>
      <c r="E61" s="385">
        <v>5</v>
      </c>
      <c r="F61" s="263" t="str">
        <f ca="1">IF(SUM($AK$77:$AK$82)=18,VLOOKUP(E61,$AG$57:$AI$62,3,0),"3E")</f>
        <v>Dinamarca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2</v>
      </c>
      <c r="M61" s="264">
        <f ca="1">IF(SUM($AK$77:$AK$82)=18,VLOOKUP($F61,$AI$57:$AR$62,8,FALSE),"3E")</f>
        <v>4</v>
      </c>
      <c r="N61" s="386">
        <f ca="1">IF(SUM($AK$77:$AK$82)=18,VLOOKUP($F61,$AI$57:$AR$62,9,FALSE),"3E")</f>
        <v>-2</v>
      </c>
      <c r="O61" s="96">
        <f t="shared" ca="1" si="72"/>
        <v>11000.019958496094</v>
      </c>
      <c r="P61" s="123" t="str">
        <f t="shared" ca="1" si="73"/>
        <v/>
      </c>
      <c r="Q61" s="262"/>
      <c r="R61" s="93"/>
      <c r="S61" s="100"/>
      <c r="T61" s="100"/>
      <c r="U61" s="100"/>
      <c r="V61" s="100"/>
      <c r="W61" s="100"/>
      <c r="X61" s="100"/>
      <c r="Y61" s="100"/>
      <c r="Z61" s="100"/>
      <c r="AA61" s="100"/>
      <c r="AB61" s="100"/>
      <c r="AC61" s="100"/>
      <c r="AD61" s="100"/>
      <c r="AE61" s="475"/>
      <c r="AF61" s="488">
        <f t="shared" ca="1" si="74"/>
        <v>416624981099.95001</v>
      </c>
      <c r="AG61" s="487">
        <f t="shared" ca="1" si="75"/>
        <v>6</v>
      </c>
      <c r="AH61" s="487">
        <f t="shared" ca="1" si="76"/>
        <v>6</v>
      </c>
      <c r="AI61" s="212" t="str">
        <f ca="1">IF($AH$76=72,VLOOKUP(3,$AG$38:$AI$41,3,0),"3E")</f>
        <v>Polonia</v>
      </c>
      <c r="AJ61" s="212">
        <f ca="1">IF($AH$76=72,VLOOKUP(3,$AG$38:$AR$41,4,0),0)</f>
        <v>2</v>
      </c>
      <c r="AK61" s="212">
        <f ca="1">IF($AH$76=72,VLOOKUP(3,$AG$38:$AR$41,5,0),0)</f>
        <v>3</v>
      </c>
      <c r="AL61" s="212">
        <f ca="1">IF($AH$76=72,VLOOKUP(3,$AG$38:$AR$41,6,0),0)</f>
        <v>0</v>
      </c>
      <c r="AM61" s="212">
        <f ca="1">IF($AH$76=72,VLOOKUP(3,$AG$38:$AR$41,7,0),0)</f>
        <v>2</v>
      </c>
      <c r="AN61" s="212">
        <f ca="1">IF($AH$76=72,VLOOKUP(3,$AG$38:$AR$41,8,0),0)</f>
        <v>1</v>
      </c>
      <c r="AO61" s="212">
        <f ca="1">IF($AH$76=72,VLOOKUP(3,$AG$38:$AR$41,9,0),0)</f>
        <v>2</v>
      </c>
      <c r="AP61" s="212">
        <f ca="1">IF($AH$76=72,VLOOKUP(3,$AG$38:$AR$41,10,0),0)</f>
        <v>3</v>
      </c>
      <c r="AQ61" s="212">
        <f ca="1">IF($AH$76=72,VLOOKUP(3,$AG$38:$AR$41,11,0),0)</f>
        <v>-1</v>
      </c>
      <c r="AR61" s="487">
        <f ca="1">IF(AK61=0,5,AJ61*$AW$4+AQ61*$AW$11+AO61*$AW$12+AL61*$AW$13-($AW$14*VLOOKUP(AI61,Tabla3[[NombreEquipo]:[Rank]],3,FALSE)/100))</f>
        <v>277749990999.81</v>
      </c>
      <c r="AS61" s="487">
        <f t="shared" ca="1" si="77"/>
        <v>6</v>
      </c>
      <c r="AT61" s="487"/>
      <c r="AU61" s="487">
        <f t="shared" ca="1" si="78"/>
        <v>277749990999.81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Polonia</v>
      </c>
      <c r="BW61" s="212">
        <f ca="1">IF(SUM($AK$38:$AK$41)=12,AJ61*$AW$4+AQ61*$AW$11+AO61*$AW$12+AL61*$AW$13-($AW$14*5/100),"3E")</f>
        <v>277749990999.95001</v>
      </c>
      <c r="BX61" s="212" t="str">
        <f t="shared" ca="1" si="80"/>
        <v>Dinamarca</v>
      </c>
      <c r="BY61" s="212">
        <f t="shared" ca="1" si="81"/>
        <v>416624981099.95001</v>
      </c>
      <c r="CA61" s="212">
        <v>5</v>
      </c>
      <c r="CB61" s="212" t="str">
        <f t="shared" ca="1" si="82"/>
        <v>Dinamarca</v>
      </c>
      <c r="CC61" s="212">
        <f t="shared" ca="1" si="83"/>
        <v>3</v>
      </c>
      <c r="CD61" s="497">
        <f t="shared" ca="1" si="84"/>
        <v>11000.019958496094</v>
      </c>
      <c r="CE61" s="212">
        <f t="shared" ca="1" si="85"/>
        <v>-2</v>
      </c>
      <c r="CF61" s="212">
        <f t="shared" ca="1" si="86"/>
        <v>2</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Polonia</v>
      </c>
      <c r="G62" s="398">
        <f ca="1">IF(SUM($AK$77:$AK$82)=18,VLOOKUP(F62,$AI$57:$AR$62,2,FALSE),"3F")</f>
        <v>2</v>
      </c>
      <c r="H62" s="398">
        <f ca="1">IF(SUM($AK$77:$AK$82)=18,VLOOKUP($F62,$AI$57:$AR$62,3,FALSE),"3F")</f>
        <v>3</v>
      </c>
      <c r="I62" s="398">
        <f ca="1">IF(SUM($AK$77:$AK$82)=18,VLOOKUP($F62,$AI$57:$AR$62,4,FALSE),"3F")</f>
        <v>0</v>
      </c>
      <c r="J62" s="398">
        <f ca="1">IF(SUM($AK$77:$AK$82)=18,VLOOKUP($F62,$AI$57:$AR$62,5,FALSE),"3F")</f>
        <v>2</v>
      </c>
      <c r="K62" s="398">
        <f ca="1">IF(SUM($AK$77:$AK$82)=18,VLOOKUP($F62,$AI$57:$AR$62,6,FALSE),"3F")</f>
        <v>1</v>
      </c>
      <c r="L62" s="398">
        <f ca="1">IF(SUM($AK$77:$AK$82)=18,VLOOKUP($F62,$AI$57:$AR$62,7,FALSE),"3F")</f>
        <v>2</v>
      </c>
      <c r="M62" s="398">
        <f ca="1">IF(SUM($AK$77:$AK$82)=18,VLOOKUP($F62,$AI$57:$AR$62,8,FALSE),"3F")</f>
        <v>3</v>
      </c>
      <c r="N62" s="399">
        <f ca="1">IF(SUM($AK$77:$AK$82)=18,VLOOKUP($F62,$AI$57:$AR$62,9,FALSE),"3F")</f>
        <v>-1</v>
      </c>
      <c r="O62" s="96">
        <f ca="1">IF(SUM($AK$57:$AK$62)=18,MIN(ABS(BY61-BY62),ABS(BY62-BY63)),100)</f>
        <v>138874990100.14001</v>
      </c>
      <c r="P62" s="123" t="str">
        <f t="shared" ca="1" si="73"/>
        <v/>
      </c>
      <c r="Q62" s="262"/>
      <c r="R62" s="93"/>
      <c r="S62" s="100"/>
      <c r="T62" s="100"/>
      <c r="U62" s="100"/>
      <c r="V62" s="100"/>
      <c r="W62" s="100"/>
      <c r="X62" s="100"/>
      <c r="Y62" s="100"/>
      <c r="Z62" s="100"/>
      <c r="AA62" s="100"/>
      <c r="AB62" s="100"/>
      <c r="AC62" s="100"/>
      <c r="AD62" s="100"/>
      <c r="AE62" s="475"/>
      <c r="AF62" s="488">
        <f t="shared" ca="1" si="74"/>
        <v>277749990999.81</v>
      </c>
      <c r="AG62" s="487">
        <f t="shared" ca="1" si="75"/>
        <v>2</v>
      </c>
      <c r="AH62" s="487">
        <f t="shared" ca="1" si="76"/>
        <v>2</v>
      </c>
      <c r="AI62" s="212" t="str">
        <f ca="1">IF($AH$76=72,VLOOKUP(3,$AG$44:$AI$49,3,0),"3F")</f>
        <v>Portugal</v>
      </c>
      <c r="AJ62" s="212">
        <f ca="1">IF($AH$76=72,VLOOKUP(3,$AG$46:$AR$49,4,0),0)</f>
        <v>3</v>
      </c>
      <c r="AK62" s="212">
        <f ca="1">IF($AH$76=72,VLOOKUP(3,$AG$46:$AR$49,5,0),0)</f>
        <v>3</v>
      </c>
      <c r="AL62" s="212">
        <f ca="1">IF($AH$76=72,VLOOKUP(3,$AG$46:$AR$49,6,0),0)</f>
        <v>1</v>
      </c>
      <c r="AM62" s="212">
        <f ca="1">IF($AH$76=72,VLOOKUP(3,$AG$46:$AR$49,7,0),0)</f>
        <v>0</v>
      </c>
      <c r="AN62" s="212">
        <f ca="1">IF($AH$76=72,VLOOKUP(3,$AG$46:$AR$49,8,0),0)</f>
        <v>2</v>
      </c>
      <c r="AO62" s="212">
        <f ca="1">IF($AH$76=72,VLOOKUP(3,$AG$46:$AR$49,9,0),0)</f>
        <v>4</v>
      </c>
      <c r="AP62" s="212">
        <f ca="1">IF($AH$76=72,VLOOKUP(3,$AG$46:$AR$49,10,0),0)</f>
        <v>4</v>
      </c>
      <c r="AQ62" s="212">
        <f ca="1">IF($AH$76=72,VLOOKUP(3,$AG$46:$AR$49,11,0),0)</f>
        <v>0</v>
      </c>
      <c r="AR62" s="487">
        <f ca="1">IF(AK62=0,6,AJ62*$AW$4+AQ62*$AW$11+AO62*$AW$12+AL62*$AW$13-($AW$14*VLOOKUP(AI62,Tabla3[[NombreEquipo]:[Rank]],3,FALSE)/100))</f>
        <v>416625002099.78003</v>
      </c>
      <c r="AS62" s="487">
        <f t="shared" ca="1" si="77"/>
        <v>2</v>
      </c>
      <c r="AT62" s="487"/>
      <c r="AU62" s="487">
        <f t="shared" ca="1" si="78"/>
        <v>416625002099.78003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2</v>
      </c>
      <c r="BV62" s="212" t="str">
        <f t="shared" ca="1" si="79"/>
        <v>Portugal</v>
      </c>
      <c r="BW62" s="212">
        <f ca="1">IF(SUM($AK$46:$AK$49)=12,AJ62*$AW$4+AQ62*$AW$11+AO62*$AW$12+AL62*$AW$13-($AW$14*6/100),"3F")</f>
        <v>416625002099.94</v>
      </c>
      <c r="BX62" s="212" t="str">
        <f t="shared" ca="1" si="80"/>
        <v>Polonia</v>
      </c>
      <c r="BY62" s="212">
        <f t="shared" ca="1" si="81"/>
        <v>277749990999.81</v>
      </c>
      <c r="CA62" s="212">
        <v>6</v>
      </c>
      <c r="CB62" s="212" t="str">
        <f t="shared" ca="1" si="82"/>
        <v>Polonia</v>
      </c>
      <c r="CC62" s="212">
        <f t="shared" ca="1" si="83"/>
        <v>2</v>
      </c>
      <c r="CD62" s="497">
        <f t="shared" ca="1" si="84"/>
        <v>138874990100.14001</v>
      </c>
      <c r="CE62" s="212">
        <f t="shared" ca="1" si="85"/>
        <v>-1</v>
      </c>
      <c r="CF62" s="212">
        <f t="shared" ca="1" si="86"/>
        <v>2</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138874990000.10999</v>
      </c>
      <c r="CE66" s="212">
        <f t="shared" ref="CE66:CE71" ca="1" si="163">VLOOKUP($CB57,$AI$57:$AR$62,9,FALSE)</f>
        <v>-1</v>
      </c>
      <c r="CF66" s="212">
        <f t="shared" ref="CF66:CF71" ca="1" si="164">VLOOKUP($CB57,$AI$57:$AR$62,7,FALSE)</f>
        <v>4</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3</v>
      </c>
      <c r="CD67" s="497">
        <f t="shared" ca="1" si="162"/>
        <v>99.9200439453125</v>
      </c>
      <c r="CE67" s="212">
        <f t="shared" ca="1" si="163"/>
        <v>0</v>
      </c>
      <c r="CF67" s="212">
        <f t="shared" ca="1" si="164"/>
        <v>4</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99.9200439453125</v>
      </c>
      <c r="CE68" s="212">
        <f t="shared" ca="1" si="163"/>
        <v>0</v>
      </c>
      <c r="CF68" s="212">
        <f t="shared" ca="1" si="164"/>
        <v>4</v>
      </c>
      <c r="CG68" s="212">
        <f t="shared" ca="1" si="165"/>
        <v>0</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9899.8900146484375</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11000.019958496094</v>
      </c>
      <c r="CE70" s="212">
        <f t="shared" ca="1" si="163"/>
        <v>-2</v>
      </c>
      <c r="CF70" s="212">
        <f t="shared" ca="1" si="164"/>
        <v>2</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2</v>
      </c>
      <c r="CD71" s="497">
        <f t="shared" ca="1" si="162"/>
        <v>138874990100.14001</v>
      </c>
      <c r="CE71" s="212">
        <f t="shared" ca="1" si="163"/>
        <v>-1</v>
      </c>
      <c r="CF71" s="212">
        <f t="shared" ca="1" si="164"/>
        <v>2</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Suiza</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4</v>
      </c>
      <c r="AH77" s="212" t="s">
        <v>0</v>
      </c>
      <c r="AI77" s="487" t="str">
        <f ca="1">IF($AH$76=72,VLOOKUP(3,$AG$6:$AR$9,3,FALSE),"3A")</f>
        <v>Gales</v>
      </c>
      <c r="AJ77" s="487">
        <f ca="1">IF($AH$76=72,VLOOKUP(3,$AG$6:$AR$9,4,FALSE),"3A")</f>
        <v>3</v>
      </c>
      <c r="AK77" s="487">
        <f ca="1">IF($AH$76=72,VLOOKUP(3,$AG$6:$AR$9,5,FALSE),"3A")</f>
        <v>3</v>
      </c>
      <c r="AL77" s="487">
        <f ca="1">IF($AH$76=72,VLOOKUP(3,$AG$6:$AR$9,6,FALSE),"3A")</f>
        <v>1</v>
      </c>
      <c r="AM77" s="487">
        <f ca="1">IF($AH$76=72,VLOOKUP(3,$AG$6:$AR$9,7,FALSE),"3A")</f>
        <v>0</v>
      </c>
      <c r="AN77" s="487">
        <f ca="1">IF($AH$76=72,VLOOKUP(3,$AG$6:$AR$9,8,FALSE),"3A")</f>
        <v>2</v>
      </c>
      <c r="AO77" s="487">
        <f ca="1">IF($AH$76=72,VLOOKUP(3,$AG$6:$AR$9,9,FALSE),"3A")</f>
        <v>4</v>
      </c>
      <c r="AP77" s="487">
        <f ca="1">IF($AH$76=72,VLOOKUP(3,$AG$6:$AR$9,10,FALSE),"3A")</f>
        <v>5</v>
      </c>
      <c r="AQ77" s="487">
        <f ca="1">IF($AH$76=72,VLOOKUP(3,$AG$6:$AR$9,11,FALSE),"3A")</f>
        <v>-1</v>
      </c>
      <c r="AR77" s="487">
        <f ca="1">IF($AH$76=72,VLOOKUP(AI77,$AI$57:$AU$62,13,FALSE),"3A")</f>
        <v>416624992099.96997</v>
      </c>
      <c r="AS77" s="487">
        <f t="shared" ref="AS77:AS82" ca="1" si="167">IFERROR(RANK(AR77,$AR$77:$AR$82),"pos")</f>
        <v>4</v>
      </c>
      <c r="AU77" s="487"/>
      <c r="AV77" s="487" t="s">
        <v>147</v>
      </c>
      <c r="AW77" s="487">
        <f t="shared" ref="AW77:AW91" ca="1" si="168">IF(AV77=$AG$94,1,0)</f>
        <v>0</v>
      </c>
      <c r="AX77" s="487" t="str">
        <f ca="1">AI77</f>
        <v>Gales</v>
      </c>
      <c r="AY77" s="487" t="str">
        <f ca="1">AI80</f>
        <v>Croacia</v>
      </c>
      <c r="AZ77" s="487" t="str">
        <f ca="1">AI78</f>
        <v>Dinamarca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Croacia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2</v>
      </c>
      <c r="AP78" s="487">
        <f ca="1">IF($AH$76=72,VLOOKUP(3,$AG$14:$AR$17,10,FALSE),"3B")</f>
        <v>4</v>
      </c>
      <c r="AQ78" s="487">
        <f ca="1">IF($AH$76=72,VLOOKUP(3,$AG$14:$AR$17,11,FALSE),"3B")</f>
        <v>-2</v>
      </c>
      <c r="AR78" s="487">
        <f ca="1">IF($AH$76=72,VLOOKUP(AI78,$AI$57:$AU$62,13,FALSE),"3B")</f>
        <v>416624981099.95001</v>
      </c>
      <c r="AS78" s="487">
        <f t="shared" ca="1" si="167"/>
        <v>5</v>
      </c>
      <c r="AU78" s="487"/>
      <c r="AV78" s="487" t="s">
        <v>148</v>
      </c>
      <c r="AW78" s="487">
        <f t="shared" ca="1" si="168"/>
        <v>0</v>
      </c>
      <c r="AX78" s="487" t="str">
        <f ca="1">AI77</f>
        <v>Gales</v>
      </c>
      <c r="AY78" s="487" t="str">
        <f ca="1">AI81</f>
        <v>Polonia</v>
      </c>
      <c r="AZ78" s="487" t="str">
        <f ca="1">AI78</f>
        <v>Dinamarca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Portugal</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1</v>
      </c>
      <c r="AH79" s="212" t="s">
        <v>2</v>
      </c>
      <c r="AI79" s="487" t="str">
        <f ca="1">IF($AH$76=72,VLOOKUP(3,$AG$22:$AR$25,3,FALSE),"3C")</f>
        <v>Austria</v>
      </c>
      <c r="AJ79" s="487">
        <f ca="1">IF($AH$76=72,VLOOKUP(3,$AG$22:$AR$25,4,FALSE),"3C")</f>
        <v>4</v>
      </c>
      <c r="AK79" s="487">
        <f ca="1">IF($AH$76=72,VLOOKUP(3,$AG$22:$AR$25,5,FALSE),"3C")</f>
        <v>3</v>
      </c>
      <c r="AL79" s="487">
        <f ca="1">IF($AH$76=72,VLOOKUP(3,$AG$22:$AR$25,6,FALSE),"3C")</f>
        <v>1</v>
      </c>
      <c r="AM79" s="487">
        <f ca="1">IF($AH$76=72,VLOOKUP(3,$AG$22:$AR$25,7,FALSE),"3C")</f>
        <v>1</v>
      </c>
      <c r="AN79" s="487">
        <f ca="1">IF($AH$76=72,VLOOKUP(3,$AG$22:$AR$25,8,FALSE),"3C")</f>
        <v>1</v>
      </c>
      <c r="AO79" s="487">
        <f ca="1">IF($AH$76=72,VLOOKUP(3,$AG$22:$AR$25,9,FALSE),"3C")</f>
        <v>4</v>
      </c>
      <c r="AP79" s="487">
        <f ca="1">IF($AH$76=72,VLOOKUP(3,$AG$22:$AR$25,10,FALSE),"3C")</f>
        <v>5</v>
      </c>
      <c r="AQ79" s="487">
        <f ca="1">IF($AH$76=72,VLOOKUP(3,$AG$22:$AR$25,11,FALSE),"3C")</f>
        <v>-1</v>
      </c>
      <c r="AR79" s="487">
        <f ca="1">IF($AH$76=72,VLOOKUP(AI79,$AI$57:$AU$62,13,FALSE),"3C")</f>
        <v>555499992099.89001</v>
      </c>
      <c r="AS79" s="487">
        <f t="shared" ca="1" si="167"/>
        <v>1</v>
      </c>
      <c r="AU79" s="487"/>
      <c r="AV79" s="487" t="s">
        <v>149</v>
      </c>
      <c r="AW79" s="487">
        <f t="shared" ca="1" si="168"/>
        <v>0</v>
      </c>
      <c r="AX79" s="487" t="str">
        <f ca="1">AI77</f>
        <v>Gales</v>
      </c>
      <c r="AY79" s="487" t="str">
        <f ca="1">AI82</f>
        <v>Portugal</v>
      </c>
      <c r="AZ79" s="487" t="str">
        <f ca="1">AI78</f>
        <v>Dinamarca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República Checa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3</v>
      </c>
      <c r="AH80" s="212" t="s">
        <v>128</v>
      </c>
      <c r="AI80" s="487" t="str">
        <f ca="1">IF($AH$76=72,VLOOKUP(3,$AG$30:$AR$33,3,FALSE),"3D")</f>
        <v>Croacia</v>
      </c>
      <c r="AJ80" s="487">
        <f ca="1">IF($AH$76=72,VLOOKUP(3,$AG$30:$AR$33,4,FALSE),"3D")</f>
        <v>3</v>
      </c>
      <c r="AK80" s="487">
        <f ca="1">IF($AH$76=72,VLOOKUP(3,$AG$30:$AR$33,5,FALSE),"3D")</f>
        <v>3</v>
      </c>
      <c r="AL80" s="487">
        <f ca="1">IF($AH$76=72,VLOOKUP(3,$AG$30:$AR$33,6,FALSE),"3D")</f>
        <v>0</v>
      </c>
      <c r="AM80" s="487">
        <f ca="1">IF($AH$76=72,VLOOKUP(3,$AG$30:$AR$33,7,FALSE),"3D")</f>
        <v>3</v>
      </c>
      <c r="AN80" s="487">
        <f ca="1">IF($AH$76=72,VLOOKUP(3,$AG$30:$AR$33,8,FALSE),"3D")</f>
        <v>0</v>
      </c>
      <c r="AO80" s="487">
        <f ca="1">IF($AH$76=72,VLOOKUP(3,$AG$30:$AR$33,9,FALSE),"3D")</f>
        <v>4</v>
      </c>
      <c r="AP80" s="487">
        <f ca="1">IF($AH$76=72,VLOOKUP(3,$AG$30:$AR$33,10,FALSE),"3D")</f>
        <v>4</v>
      </c>
      <c r="AQ80" s="487">
        <f ca="1">IF($AH$76=72,VLOOKUP(3,$AG$30:$AR$33,11,FALSE),"3D")</f>
        <v>0</v>
      </c>
      <c r="AR80" s="487">
        <f ca="1">IF($AH$76=72,VLOOKUP(AI80,$AI$57:$AU$62,13,FALSE),"3D")</f>
        <v>416625001999.85999</v>
      </c>
      <c r="AS80" s="487">
        <f t="shared" ca="1" si="167"/>
        <v>3</v>
      </c>
      <c r="AU80" s="487"/>
      <c r="AV80" s="487" t="s">
        <v>150</v>
      </c>
      <c r="AW80" s="487">
        <f t="shared" ca="1" si="168"/>
        <v>0</v>
      </c>
      <c r="AX80" s="487" t="str">
        <f ca="1">AI80</f>
        <v>Croacia</v>
      </c>
      <c r="AY80" s="487" t="str">
        <f ca="1">AI81</f>
        <v>Polonia</v>
      </c>
      <c r="AZ80" s="487" t="str">
        <f ca="1">AI77</f>
        <v>Gales</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Gales</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Polonia</v>
      </c>
      <c r="AJ81" s="487">
        <f ca="1">IF($AH$76=72,VLOOKUP(3,$AG$38:$AR$41,4,FALSE),"3E")</f>
        <v>2</v>
      </c>
      <c r="AK81" s="487">
        <f ca="1">IF($AH$76=72,VLOOKUP(3,$AG$38:$AR$41,5,FALSE),"3E")</f>
        <v>3</v>
      </c>
      <c r="AL81" s="487">
        <f ca="1">IF($AH$76=72,VLOOKUP(3,$AG$38:$AR$41,6,FALSE),"3E")</f>
        <v>0</v>
      </c>
      <c r="AM81" s="487">
        <f ca="1">IF($AH$76=72,VLOOKUP(3,$AG$38:$AR$41,7,FALSE),"3E")</f>
        <v>2</v>
      </c>
      <c r="AN81" s="487">
        <f ca="1">IF($AH$76=72,VLOOKUP(3,$AG$38:$AR$41,8,FALSE),"3E")</f>
        <v>1</v>
      </c>
      <c r="AO81" s="487">
        <f ca="1">IF($AH$76=72,VLOOKUP(3,$AG$38:$AR$41,9,FALSE),"3E")</f>
        <v>2</v>
      </c>
      <c r="AP81" s="487">
        <f ca="1">IF($AH$76=72,VLOOKUP(3,$AG$38:$AR$41,10,FALSE),"3E")</f>
        <v>3</v>
      </c>
      <c r="AQ81" s="487">
        <f ca="1">IF($AH$76=72,VLOOKUP(3,$AG$38:$AR$41,11,FALSE),"3E")</f>
        <v>-1</v>
      </c>
      <c r="AR81" s="487">
        <f ca="1">IF($AH$76=72,VLOOKUP(AI81,$AI$57:$AU$62,13,FALSE),"3E")</f>
        <v>277749990999.81</v>
      </c>
      <c r="AS81" s="487">
        <f t="shared" ca="1" si="167"/>
        <v>6</v>
      </c>
      <c r="AU81" s="487"/>
      <c r="AV81" s="487" t="s">
        <v>151</v>
      </c>
      <c r="AW81" s="487">
        <f t="shared" ca="1" si="168"/>
        <v>0</v>
      </c>
      <c r="AX81" s="487" t="str">
        <f ca="1">AI80</f>
        <v>Croacia</v>
      </c>
      <c r="AY81" s="487" t="str">
        <f ca="1">AI82</f>
        <v>Portugal</v>
      </c>
      <c r="AZ81" s="487" t="str">
        <f ca="1">AI77</f>
        <v>Gales</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2</v>
      </c>
      <c r="AH82" s="212" t="s">
        <v>4</v>
      </c>
      <c r="AI82" s="487" t="str">
        <f ca="1">IF($AH$76=72,VLOOKUP(3,$AG$46:$AR$49,3,FALSE),"3F")</f>
        <v>Portugal</v>
      </c>
      <c r="AJ82" s="487">
        <f ca="1">IF($AH$76=72,VLOOKUP(3,$AG$46:$AR$49,4,FALSE),"3F")</f>
        <v>3</v>
      </c>
      <c r="AK82" s="487">
        <f ca="1">IF($AH$76=72,VLOOKUP(3,$AG$46:$AR$49,5,FALSE),"3F")</f>
        <v>3</v>
      </c>
      <c r="AL82" s="487">
        <f ca="1">IF($AH$76=72,VLOOKUP(3,$AG$46:$AR$49,6,FALSE),"3F")</f>
        <v>1</v>
      </c>
      <c r="AM82" s="487">
        <f ca="1">IF($AH$76=72,VLOOKUP(3,$AG$46:$AR$49,7,FALSE),"3F")</f>
        <v>0</v>
      </c>
      <c r="AN82" s="487">
        <f ca="1">IF($AH$76=72,VLOOKUP(3,$AG$46:$AR$49,8,FALSE),"3F")</f>
        <v>2</v>
      </c>
      <c r="AO82" s="487">
        <f ca="1">IF($AH$76=72,VLOOKUP(3,$AG$46:$AR$49,9,FALSE),"3F")</f>
        <v>4</v>
      </c>
      <c r="AP82" s="487">
        <f ca="1">IF($AH$76=72,VLOOKUP(3,$AG$46:$AR$49,10,FALSE),"3F")</f>
        <v>4</v>
      </c>
      <c r="AQ82" s="487">
        <f ca="1">IF($AH$76=72,VLOOKUP(3,$AG$46:$AR$49,11,FALSE),"3F")</f>
        <v>0</v>
      </c>
      <c r="AR82" s="487">
        <f ca="1">IF($AH$76=72,VLOOKUP(AI82,$AI$57:$AU$62,13,FALSE),"3F")</f>
        <v>416625002099.78003</v>
      </c>
      <c r="AS82" s="487">
        <f t="shared" ca="1" si="167"/>
        <v>2</v>
      </c>
      <c r="AU82" s="487"/>
      <c r="AV82" s="487" t="s">
        <v>152</v>
      </c>
      <c r="AW82" s="487">
        <f t="shared" ca="1" si="168"/>
        <v>0</v>
      </c>
      <c r="AX82" s="487" t="str">
        <f ca="1">AI81</f>
        <v>Polonia</v>
      </c>
      <c r="AY82" s="487" t="str">
        <f ca="1">AI82</f>
        <v>Portugal</v>
      </c>
      <c r="AZ82" s="487" t="str">
        <f ca="1">AI78</f>
        <v>Dinamarca</v>
      </c>
      <c r="BA82" s="487" t="str">
        <f ca="1">AI77</f>
        <v>Gales</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Austria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Polonia</v>
      </c>
      <c r="AY83" s="212" t="str">
        <f ca="1">AI80</f>
        <v>Croacia</v>
      </c>
      <c r="AZ83" s="212" t="str">
        <f ca="1">AI79</f>
        <v>Austria</v>
      </c>
      <c r="BA83" s="212" t="str">
        <f ca="1">AI77</f>
        <v>Gales</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Austria</v>
      </c>
      <c r="AI84" s="212" t="str">
        <f ca="1">IFERROR(VLOOKUP(AG84,$AG$77:$AI$82,2,),"Grupo")</f>
        <v>C</v>
      </c>
      <c r="AJ84" s="212">
        <f ca="1">COUNTIF($AI$84:$AI$87,"&lt;="&amp;AI84)</f>
        <v>2</v>
      </c>
      <c r="AV84" s="487" t="s">
        <v>154</v>
      </c>
      <c r="AW84" s="487">
        <f t="shared" ca="1" si="168"/>
        <v>1</v>
      </c>
      <c r="AX84" s="212" t="str">
        <f ca="1">AI82</f>
        <v>Portugal</v>
      </c>
      <c r="AY84" s="212" t="str">
        <f ca="1">AI80</f>
        <v>Croacia</v>
      </c>
      <c r="AZ84" s="212" t="str">
        <f ca="1">AI79</f>
        <v>Austria</v>
      </c>
      <c r="BA84" s="212" t="str">
        <f ca="1">AI77</f>
        <v>Gales</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Portugal</v>
      </c>
      <c r="AI85" s="212" t="str">
        <f ca="1">IFERROR(VLOOKUP(AG85,$AG$77:$AI$82,2,),"Grupo")</f>
        <v>F</v>
      </c>
      <c r="AJ85" s="212">
        <f ca="1">COUNTIF($AI$84:$AI$87,"&lt;="&amp;AI85)</f>
        <v>4</v>
      </c>
      <c r="AV85" s="487" t="s">
        <v>155</v>
      </c>
      <c r="AW85" s="487">
        <f t="shared" ca="1" si="168"/>
        <v>0</v>
      </c>
      <c r="AX85" s="212" t="str">
        <f ca="1">AI81</f>
        <v>Polonia</v>
      </c>
      <c r="AY85" s="212" t="str">
        <f ca="1">AI82</f>
        <v>Portugal</v>
      </c>
      <c r="AZ85" s="212" t="str">
        <f ca="1">AI79</f>
        <v>Austria</v>
      </c>
      <c r="BA85" s="212" t="str">
        <f ca="1">AI77</f>
        <v>Gales</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Croacia</v>
      </c>
      <c r="AI86" s="212" t="str">
        <f ca="1">IFERROR(VLOOKUP(AG86,$AG$77:$AI$82,2,),"Grupo")</f>
        <v>D</v>
      </c>
      <c r="AJ86" s="212">
        <f ca="1">COUNTIF($AI$84:$AI$87,"&lt;="&amp;AI86)</f>
        <v>3</v>
      </c>
      <c r="AV86" s="487" t="s">
        <v>156</v>
      </c>
      <c r="AW86" s="487">
        <f t="shared" ca="1" si="168"/>
        <v>0</v>
      </c>
      <c r="AX86" s="212" t="str">
        <f ca="1">AI81</f>
        <v>Polonia</v>
      </c>
      <c r="AY86" s="212" t="str">
        <f ca="1">AI82</f>
        <v>Portugal</v>
      </c>
      <c r="AZ86" s="212" t="str">
        <f ca="1">AI80</f>
        <v>Croacia</v>
      </c>
      <c r="BA86" s="212" t="str">
        <f ca="1">AI77</f>
        <v>Gales</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Gales</v>
      </c>
      <c r="AI87" s="212" t="str">
        <f ca="1">IFERROR(VLOOKUP(AG87,$AG$77:$AI$82,2,),"Grupo")</f>
        <v>A</v>
      </c>
      <c r="AJ87" s="212">
        <f ca="1">COUNTIF($AI$84:$AI$87,"&lt;="&amp;AI87)</f>
        <v>1</v>
      </c>
      <c r="AV87" s="487" t="s">
        <v>157</v>
      </c>
      <c r="AW87" s="487">
        <f t="shared" ca="1" si="168"/>
        <v>0</v>
      </c>
      <c r="AX87" s="212" t="str">
        <f ca="1">AI81</f>
        <v>Polonia</v>
      </c>
      <c r="AY87" s="212" t="str">
        <f ca="1">AI80</f>
        <v>Croacia</v>
      </c>
      <c r="AZ87" s="212" t="str">
        <f ca="1">AI78</f>
        <v>Dinamarca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Croacia</v>
      </c>
      <c r="AZ88" s="212" t="str">
        <f ca="1">AI79</f>
        <v>Austria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Polonia</v>
      </c>
      <c r="AZ89" s="212" t="str">
        <f ca="1">AI79</f>
        <v>Austria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Polonia</v>
      </c>
      <c r="AZ90" s="212" t="str">
        <f ca="1">AI80</f>
        <v>Croacia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Polonia</v>
      </c>
      <c r="AZ91" s="212" t="str">
        <f ca="1">AI80</f>
        <v>Croacia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2|0-2</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2|1-2</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1|1-0</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1|3-1</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1|1-0</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1|2-0</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X|1-1</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2|1-2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X|0-0</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X|1-1</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2|0-2</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X|2-2</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2|1-2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1|3-2</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2|1-2</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2|1-3</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1|3-1</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X|2-2</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1|2-0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1|2-0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1|2-1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2|1-3</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2|1-2</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1|2-1</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1|2-0</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1|1-0</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X|2-2</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2|1-4</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2|1-2</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X|1-1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X|1-1</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2|1-3</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1|2-0</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2|1-2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Suiza</v>
      </c>
      <c r="D45" s="595"/>
      <c r="E45" s="1"/>
      <c r="F45" s="1"/>
      <c r="G45" s="1"/>
      <c r="H45" s="1"/>
      <c r="I45" s="440"/>
      <c r="J45" s="1"/>
      <c r="K45" s="1"/>
      <c r="L45" s="1"/>
      <c r="M45" s="446"/>
      <c r="N45" s="447"/>
    </row>
    <row r="46" spans="1:14" ht="15" customHeight="1" x14ac:dyDescent="0.25">
      <c r="A46" s="606"/>
      <c r="B46" s="14" t="s">
        <v>100</v>
      </c>
      <c r="C46" s="18" t="str">
        <f ca="1">IF(SUM(EUROCOPA!$T$6:$T$9)=12,EUROCOPA!R8,B46)</f>
        <v>Gales</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Rusia</v>
      </c>
      <c r="D49" s="595"/>
      <c r="E49" s="1"/>
      <c r="F49" s="1"/>
      <c r="G49" s="1"/>
      <c r="H49" s="1"/>
      <c r="I49" s="440"/>
      <c r="J49" s="1"/>
      <c r="K49" s="1"/>
      <c r="L49" s="1"/>
      <c r="M49" s="446"/>
      <c r="N49" s="447"/>
    </row>
    <row r="50" spans="1:14" x14ac:dyDescent="0.25">
      <c r="A50" s="607"/>
      <c r="B50" s="14" t="s">
        <v>104</v>
      </c>
      <c r="C50" s="18" t="str">
        <f ca="1">IF(SUM(EUROCOPA!$T$14:$T$17)=12,EUROCOPA!R16,B50)</f>
        <v>Dinamarca</v>
      </c>
      <c r="D50" s="595"/>
      <c r="E50" s="1"/>
      <c r="F50" s="1"/>
      <c r="G50" s="1"/>
      <c r="H50" s="1"/>
      <c r="I50" s="440"/>
      <c r="J50" s="1"/>
      <c r="K50" s="1"/>
      <c r="L50" s="1"/>
      <c r="M50" s="446"/>
      <c r="N50" s="447"/>
    </row>
    <row r="51" spans="1:14" x14ac:dyDescent="0.25">
      <c r="A51" s="607"/>
      <c r="B51" s="14" t="s">
        <v>105</v>
      </c>
      <c r="C51" s="18" t="str">
        <f ca="1">IF(SUM(EUROCOPA!$T$14:$T$17)=12,EUROCOPA!R17,B51)</f>
        <v>Finlandia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Ucrania</v>
      </c>
      <c r="D53" s="595"/>
      <c r="E53" s="1"/>
      <c r="F53" s="1"/>
      <c r="G53" s="1"/>
      <c r="H53" s="1"/>
      <c r="I53" s="440"/>
      <c r="J53" s="1"/>
      <c r="K53" s="1"/>
      <c r="L53" s="1"/>
      <c r="M53" s="446"/>
      <c r="N53" s="447"/>
    </row>
    <row r="54" spans="1:14" x14ac:dyDescent="0.25">
      <c r="A54" s="608"/>
      <c r="B54" s="14" t="s">
        <v>108</v>
      </c>
      <c r="C54" s="18" t="str">
        <f ca="1">IF(SUM(EUROCOPA!$T$22:$T$25)=12,EUROCOPA!R24,B54)</f>
        <v>Austria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República Checa</v>
      </c>
      <c r="D57" s="595"/>
      <c r="E57" s="1"/>
      <c r="F57" s="1"/>
      <c r="G57" s="1"/>
      <c r="H57" s="1"/>
      <c r="I57" s="440"/>
      <c r="J57" s="1"/>
      <c r="K57" s="1"/>
      <c r="L57" s="1"/>
      <c r="M57" s="446"/>
      <c r="N57" s="447"/>
    </row>
    <row r="58" spans="1:14" x14ac:dyDescent="0.25">
      <c r="A58" s="602"/>
      <c r="B58" s="14" t="s">
        <v>191</v>
      </c>
      <c r="C58" s="18" t="str">
        <f ca="1">IF(SUM(EUROCOPA!$T$30:$T$33)=12,EUROCOPA!R32,B58)</f>
        <v>Croacia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España</v>
      </c>
      <c r="D60" s="595"/>
      <c r="E60" s="1"/>
      <c r="F60" s="1"/>
      <c r="G60" s="1"/>
      <c r="H60" s="1"/>
      <c r="I60" s="440"/>
      <c r="J60" s="1"/>
      <c r="K60" s="1"/>
      <c r="L60" s="1"/>
      <c r="M60" s="446"/>
      <c r="N60" s="447"/>
    </row>
    <row r="61" spans="1:14" x14ac:dyDescent="0.25">
      <c r="A61" s="604"/>
      <c r="B61" s="14" t="s">
        <v>194</v>
      </c>
      <c r="C61" s="18" t="str">
        <f ca="1">IF(SUM(EUROCOPA!$T$38:$T$41)=12,EUROCOPA!R39,B61)</f>
        <v>Suecia</v>
      </c>
      <c r="D61" s="595"/>
      <c r="E61" s="1"/>
      <c r="F61" s="1"/>
      <c r="G61" s="1"/>
      <c r="H61" s="1"/>
      <c r="I61" s="440"/>
      <c r="J61" s="1"/>
      <c r="K61" s="1"/>
      <c r="L61" s="1"/>
      <c r="M61" s="446"/>
      <c r="N61" s="447"/>
    </row>
    <row r="62" spans="1:14" x14ac:dyDescent="0.25">
      <c r="A62" s="604"/>
      <c r="B62" s="14" t="s">
        <v>195</v>
      </c>
      <c r="C62" s="18" t="str">
        <f ca="1">IF(SUM(EUROCOPA!$T$38:$T$41)=12,EUROCOPA!R40,B62)</f>
        <v>Polonia</v>
      </c>
      <c r="D62" s="595"/>
      <c r="E62" s="1"/>
      <c r="F62" s="1"/>
      <c r="G62" s="1"/>
      <c r="H62" s="1"/>
      <c r="I62" s="440"/>
      <c r="J62" s="1"/>
      <c r="K62" s="1"/>
      <c r="L62" s="1"/>
      <c r="M62" s="446"/>
      <c r="N62" s="447"/>
    </row>
    <row r="63" spans="1:14" x14ac:dyDescent="0.25">
      <c r="A63" s="604"/>
      <c r="B63" s="14" t="s">
        <v>196</v>
      </c>
      <c r="C63" s="18" t="str">
        <f ca="1">IF(SUM(EUROCOPA!$T$38:$T$41)=12,EUROCOPA!R41,B63)</f>
        <v>Eslovaquia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Suiza</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República Checa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España</v>
      </c>
      <c r="D77" s="595"/>
      <c r="E77" s="1"/>
      <c r="F77" s="1"/>
      <c r="G77" s="1"/>
      <c r="H77" s="1"/>
      <c r="I77" s="440"/>
      <c r="J77" s="1"/>
      <c r="K77" s="1"/>
      <c r="L77" s="1"/>
      <c r="M77" s="446"/>
      <c r="N77" s="447"/>
    </row>
    <row r="78" spans="1:14" ht="15" customHeight="1" x14ac:dyDescent="0.25">
      <c r="A78" s="605"/>
      <c r="B78" s="14" t="s">
        <v>202</v>
      </c>
      <c r="C78" s="400" t="str">
        <f ca="1">EUROCOPA!N76</f>
        <v>Rusia</v>
      </c>
      <c r="D78" s="595"/>
      <c r="E78" s="1"/>
      <c r="F78" s="1"/>
      <c r="G78" s="1"/>
      <c r="H78" s="1"/>
      <c r="I78" s="440"/>
      <c r="J78" s="1"/>
      <c r="K78" s="1"/>
      <c r="L78" s="1"/>
      <c r="M78" s="446"/>
      <c r="N78" s="447"/>
    </row>
    <row r="79" spans="1:14" ht="15" customHeight="1" x14ac:dyDescent="0.25">
      <c r="A79" s="605"/>
      <c r="B79" s="14" t="s">
        <v>202</v>
      </c>
      <c r="C79" s="400" t="str">
        <f ca="1">EUROCOPA!N77</f>
        <v>Ucrania</v>
      </c>
      <c r="D79" s="595"/>
      <c r="E79" s="1"/>
      <c r="F79" s="1"/>
      <c r="G79" s="1"/>
      <c r="H79" s="1"/>
      <c r="I79" s="440"/>
      <c r="J79" s="1"/>
      <c r="K79" s="1"/>
      <c r="L79" s="1"/>
      <c r="M79" s="446"/>
      <c r="N79" s="447"/>
    </row>
    <row r="80" spans="1:14" ht="15" customHeight="1" x14ac:dyDescent="0.25">
      <c r="A80" s="605"/>
      <c r="B80" s="14" t="s">
        <v>202</v>
      </c>
      <c r="C80" s="400" t="str">
        <f ca="1">EUROCOPA!N78</f>
        <v>Croacia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Suecia</v>
      </c>
      <c r="D82" s="595"/>
      <c r="E82" s="1"/>
      <c r="F82" s="1"/>
      <c r="G82" s="1"/>
      <c r="H82" s="1"/>
      <c r="I82" s="440"/>
      <c r="J82" s="1"/>
      <c r="K82" s="1"/>
      <c r="L82" s="1"/>
      <c r="M82" s="446"/>
      <c r="N82" s="447"/>
    </row>
    <row r="83" spans="1:14" ht="15" customHeight="1" x14ac:dyDescent="0.25">
      <c r="A83" s="605"/>
      <c r="B83" s="14" t="s">
        <v>202</v>
      </c>
      <c r="C83" s="400" t="str">
        <f ca="1">EUROCOPA!N81</f>
        <v>Gales</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Austria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Suiza-Rusia</v>
      </c>
      <c r="C88" s="400" t="str">
        <f ca="1">CONCATENATE(EUROCOPA!I76,"-",EUROCOPA!N76,"· ",IF(EUROCOPA!K76&gt;EUROCOPA!L76,1,IF(EUROCOPA!K76&lt;EUROCOPA!L76,2,IF(AND(EUROCOPA!K76=EUROCOPA!L76,EUROCOPA!K76&lt;&gt;"",EUROCOPA!L76&lt;&gt;""),"X",0))),"|",EUROCOPA!K76,"-",EUROCOPA!L76)</f>
        <v>Suiza-Rusia· 0|-</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90"/>
      <c r="E89" s="586"/>
      <c r="F89" s="587"/>
      <c r="G89" s="587"/>
      <c r="H89" s="587"/>
      <c r="I89" s="429"/>
      <c r="J89" s="1"/>
      <c r="K89" s="1"/>
      <c r="L89" s="1"/>
      <c r="M89" s="428"/>
      <c r="N89" s="447"/>
    </row>
    <row r="90" spans="1:14" ht="15" customHeight="1" x14ac:dyDescent="0.25">
      <c r="A90" s="605"/>
      <c r="B90" s="9" t="str">
        <f ca="1">CONCATENATE(EUROCOPA!I78,"-",EUROCOPA!N78)</f>
        <v>Países Bajos-Croacia</v>
      </c>
      <c r="C90" s="400" t="str">
        <f ca="1">CONCATENATE(EUROCOPA!I78,"-",EUROCOPA!N78,"· ",IF(EUROCOPA!K78&gt;EUROCOPA!L78,1,IF(EUROCOPA!K78&lt;EUROCOPA!L78,2,IF(AND(EUROCOPA!K78=EUROCOPA!L78,EUROCOPA!K78&lt;&gt;"",EUROCOPA!L78&lt;&gt;""),"X",0))),"|",EUROCOPA!K78,"-",EUROCOPA!L78)</f>
        <v>Países Bajos-Croacia· 0|-</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0|-</v>
      </c>
      <c r="D91" s="590"/>
      <c r="E91" s="586"/>
      <c r="F91" s="587"/>
      <c r="G91" s="587"/>
      <c r="H91" s="587"/>
      <c r="I91" s="429"/>
      <c r="J91" s="1"/>
      <c r="K91" s="1"/>
      <c r="L91" s="1"/>
      <c r="M91" s="428"/>
      <c r="N91" s="447"/>
    </row>
    <row r="92" spans="1:14" ht="15" customHeight="1" x14ac:dyDescent="0.25">
      <c r="A92" s="605"/>
      <c r="B92" s="9" t="str">
        <f ca="1">CONCATENATE(EUROCOPA!I80,"-",EUROCOPA!N80)</f>
        <v>República Checa-Suecia</v>
      </c>
      <c r="C92" s="400" t="str">
        <f ca="1">CONCATENATE(EUROCOPA!I80,"-",EUROCOPA!N80,"· ",IF(EUROCOPA!K80&gt;EUROCOPA!L80,1,IF(EUROCOPA!K80&lt;EUROCOPA!L80,2,IF(AND(EUROCOPA!K80=EUROCOPA!L80,EUROCOPA!K80&lt;&gt;"",EUROCOPA!L80&lt;&gt;""),"X",0))),"|",EUROCOPA!K80,"-",EUROCOPA!L80)</f>
        <v>República Checa-Suecia· 0|-</v>
      </c>
      <c r="D92" s="590"/>
      <c r="E92" s="1"/>
      <c r="F92" s="1"/>
      <c r="G92" s="1"/>
      <c r="H92" s="1"/>
      <c r="I92" s="429"/>
      <c r="J92" s="1"/>
      <c r="K92" s="1"/>
      <c r="L92" s="1"/>
      <c r="M92" s="428"/>
      <c r="N92" s="447"/>
    </row>
    <row r="93" spans="1:14" ht="15" customHeight="1" x14ac:dyDescent="0.25">
      <c r="A93" s="605"/>
      <c r="B93" s="9" t="str">
        <f ca="1">CONCATENATE(EUROCOPA!I81,"-",EUROCOPA!N81)</f>
        <v>Francia-Gales</v>
      </c>
      <c r="C93" s="400" t="str">
        <f ca="1">CONCATENATE(EUROCOPA!I81,"-",EUROCOPA!N81,"· ",IF(EUROCOPA!K81&gt;EUROCOPA!L81,1,IF(EUROCOPA!K81&lt;EUROCOPA!L81,2,IF(AND(EUROCOPA!K81=EUROCOPA!L81,EUROCOPA!K81&lt;&gt;"",EUROCOPA!L81&lt;&gt;""),"X",0))),"|",EUROCOPA!K81,"-",EUROCOPA!L81)</f>
        <v>Francia-Gales· 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90"/>
      <c r="E94" s="1"/>
      <c r="F94" s="1"/>
      <c r="G94" s="1"/>
      <c r="H94" s="1"/>
      <c r="I94" s="429"/>
      <c r="J94" s="1"/>
      <c r="K94" s="1"/>
      <c r="L94" s="1"/>
      <c r="M94" s="428"/>
      <c r="N94" s="447"/>
    </row>
    <row r="95" spans="1:14" ht="15" customHeight="1" x14ac:dyDescent="0.25">
      <c r="A95" s="605"/>
      <c r="B95" s="9" t="str">
        <f ca="1">CONCATENATE(EUROCOPA!I83,"-",EUROCOPA!N83)</f>
        <v>España-Austria</v>
      </c>
      <c r="C95" s="400" t="str">
        <f ca="1">CONCATENATE(EUROCOPA!I83,"-",EUROCOPA!N83,"· ",IF(EUROCOPA!K83&gt;EUROCOPA!L83,1,IF(EUROCOPA!K83&lt;EUROCOPA!L83,2,IF(AND(EUROCOPA!K83=EUROCOPA!L83,EUROCOPA!K83&lt;&gt;"",EUROCOPA!L83&lt;&gt;""),"X",0))),"|",EUROCOPA!K83,"-",EUROCOPA!L83)</f>
        <v>España-Austria·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EUROCOPA!I87</f>
        <v>W41</v>
      </c>
      <c r="D98" s="590"/>
      <c r="E98" s="1"/>
      <c r="F98" s="1"/>
      <c r="G98" s="1"/>
      <c r="H98" s="1"/>
      <c r="I98" s="429"/>
      <c r="J98" s="1"/>
      <c r="K98" s="1"/>
      <c r="L98" s="1"/>
      <c r="M98" s="428"/>
      <c r="N98" s="447"/>
    </row>
    <row r="99" spans="1:14" ht="15" customHeight="1" x14ac:dyDescent="0.25">
      <c r="A99" s="605"/>
      <c r="B99" s="14" t="s">
        <v>111</v>
      </c>
      <c r="C99" s="18" t="str">
        <f>EUROCOPA!I88</f>
        <v>W39</v>
      </c>
      <c r="D99" s="590"/>
      <c r="E99" s="1"/>
      <c r="F99" s="1"/>
      <c r="G99" s="1"/>
      <c r="H99" s="1"/>
      <c r="I99" s="429"/>
      <c r="J99" s="1"/>
      <c r="K99" s="1"/>
      <c r="L99" s="1"/>
      <c r="M99" s="428"/>
      <c r="N99" s="447"/>
    </row>
    <row r="100" spans="1:14" ht="15" customHeight="1" x14ac:dyDescent="0.25">
      <c r="A100" s="605"/>
      <c r="B100" s="14" t="s">
        <v>111</v>
      </c>
      <c r="C100" s="18" t="str">
        <f>EUROCOPA!I89</f>
        <v>W40</v>
      </c>
      <c r="D100" s="590"/>
      <c r="E100" s="1"/>
      <c r="F100" s="1"/>
      <c r="G100" s="1"/>
      <c r="H100" s="1"/>
      <c r="I100" s="429"/>
      <c r="J100" s="1"/>
      <c r="K100" s="1"/>
      <c r="L100" s="1"/>
      <c r="M100" s="428"/>
      <c r="N100" s="447"/>
    </row>
    <row r="101" spans="1:14" ht="15" customHeight="1" x14ac:dyDescent="0.25">
      <c r="A101" s="605"/>
      <c r="B101" s="14" t="s">
        <v>111</v>
      </c>
      <c r="C101" s="18" t="str">
        <f>EUROCOPA!I90</f>
        <v>W43</v>
      </c>
      <c r="D101" s="590"/>
      <c r="E101" s="1"/>
      <c r="F101" s="1"/>
      <c r="G101" s="1"/>
      <c r="H101" s="1"/>
      <c r="I101" s="429"/>
      <c r="J101" s="1"/>
      <c r="K101" s="1"/>
      <c r="L101" s="1"/>
      <c r="M101" s="428"/>
      <c r="N101" s="447"/>
    </row>
    <row r="102" spans="1:14" ht="15" customHeight="1" x14ac:dyDescent="0.25">
      <c r="A102" s="605"/>
      <c r="B102" s="14" t="s">
        <v>111</v>
      </c>
      <c r="C102" s="18" t="str">
        <f>EUROCOPA!N87</f>
        <v>W42</v>
      </c>
      <c r="D102" s="590"/>
      <c r="E102" s="1"/>
      <c r="F102" s="1"/>
      <c r="G102" s="1"/>
      <c r="H102" s="1"/>
      <c r="I102" s="429"/>
      <c r="J102" s="1"/>
      <c r="K102" s="1"/>
      <c r="L102" s="1"/>
      <c r="M102" s="428"/>
      <c r="N102" s="447"/>
    </row>
    <row r="103" spans="1:14" ht="15" customHeight="1" x14ac:dyDescent="0.25">
      <c r="A103" s="605"/>
      <c r="B103" s="14" t="s">
        <v>111</v>
      </c>
      <c r="C103" s="18" t="str">
        <f>EUROCOPA!N88</f>
        <v>W37</v>
      </c>
      <c r="D103" s="590"/>
      <c r="E103" s="1"/>
      <c r="F103" s="1"/>
      <c r="G103" s="1"/>
      <c r="H103" s="1"/>
      <c r="I103" s="429"/>
      <c r="J103" s="1"/>
      <c r="K103" s="1"/>
      <c r="L103" s="1"/>
      <c r="M103" s="428"/>
      <c r="N103" s="447"/>
    </row>
    <row r="104" spans="1:14" ht="15" customHeight="1" x14ac:dyDescent="0.25">
      <c r="A104" s="605"/>
      <c r="B104" s="14" t="s">
        <v>111</v>
      </c>
      <c r="C104" s="18" t="str">
        <f>EUROCOPA!N89</f>
        <v>W38</v>
      </c>
      <c r="D104" s="590"/>
      <c r="E104" s="1"/>
      <c r="F104" s="1"/>
      <c r="G104" s="1"/>
      <c r="H104" s="1"/>
      <c r="I104" s="429"/>
      <c r="J104" s="1"/>
      <c r="K104" s="1"/>
      <c r="L104" s="1"/>
      <c r="M104" s="428"/>
      <c r="N104" s="447"/>
    </row>
    <row r="105" spans="1:14" ht="15" customHeight="1" x14ac:dyDescent="0.25">
      <c r="A105" s="605"/>
      <c r="B105" s="14" t="s">
        <v>111</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83</v>
      </c>
      <c r="E108" s="586" t="s">
        <v>852</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fili Galindo</cp:lastModifiedBy>
  <cp:lastPrinted>2018-12-06T18:06:35Z</cp:lastPrinted>
  <dcterms:created xsi:type="dcterms:W3CDTF">2015-10-31T09:41:54Z</dcterms:created>
  <dcterms:modified xsi:type="dcterms:W3CDTF">2021-06-11T03:02:03Z</dcterms:modified>
</cp:coreProperties>
</file>