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autoCompressPictures="0" defaultThemeVersion="124226"/>
  <mc:AlternateContent xmlns:mc="http://schemas.openxmlformats.org/markup-compatibility/2006">
    <mc:Choice Requires="x15">
      <x15ac:absPath xmlns:x15ac="http://schemas.microsoft.com/office/spreadsheetml/2010/11/ac" url="C:\Users\USUARIO\Documents\CURRICULUM VITAE GIOVANNI CANO\"/>
    </mc:Choice>
  </mc:AlternateContent>
  <workbookProtection workbookAlgorithmName="SHA-512" workbookHashValue="1Anl7tCJ9NCY7qVoTr6E1XPX54KAEGrY7dncEjLkhRIykSEczUJpMizj+H9HLAoCBhkFo+lH7vNHFA0SHlfKnQ==" workbookSaltValue="byGixj7APwyJwnsibHNSig==" workbookSpinCount="100000" lockStructure="1"/>
  <bookViews>
    <workbookView xWindow="0" yWindow="0" windowWidth="19200" windowHeight="10035" tabRatio="749" activeTab="1"/>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52511"/>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93" i="3"/>
  <c r="I97" i="3"/>
  <c r="O93" i="3" s="1"/>
  <c r="I100" i="3"/>
  <c r="C131" i="31" s="1"/>
  <c r="C114" i="31"/>
  <c r="O88" i="3"/>
  <c r="N93" i="3"/>
  <c r="C116" i="31" s="1"/>
  <c r="O87" i="3"/>
  <c r="I94" i="3"/>
  <c r="O90" i="3" s="1"/>
  <c r="N97" i="3"/>
  <c r="C125" i="31" s="1"/>
  <c r="I101" i="3"/>
  <c r="O101" i="3" s="1"/>
  <c r="N94" i="3"/>
  <c r="A30" i="3" a="1"/>
  <c r="A14" i="3" a="1"/>
  <c r="A23" i="3" a="1"/>
  <c r="A6" i="3" a="1"/>
  <c r="A24" i="3" a="1"/>
  <c r="A8" i="3" a="1"/>
  <c r="A46" i="3" a="1"/>
  <c r="A47" i="3" a="1"/>
  <c r="A39" i="3" a="1"/>
  <c r="A32" i="3" a="1"/>
  <c r="A5" i="3" a="1"/>
  <c r="A15" i="3" a="1"/>
  <c r="A16" i="3" a="1"/>
  <c r="A21" i="3" a="1"/>
  <c r="A37" i="3" a="1"/>
  <c r="A7" i="3" a="1"/>
  <c r="A45" i="3" a="1"/>
  <c r="A31" i="3" a="1"/>
  <c r="A40" i="3" a="1"/>
  <c r="A38" i="3" a="1"/>
  <c r="A29" i="3" a="1"/>
  <c r="A22" i="3" a="1"/>
  <c r="A13" i="3" a="1"/>
  <c r="A48" i="3" a="1"/>
  <c r="O94" i="3" l="1"/>
  <c r="C115" i="31"/>
  <c r="B121" i="31"/>
  <c r="C132" i="31"/>
  <c r="C120" i="31"/>
  <c r="B120" i="31"/>
  <c r="O100" i="3"/>
  <c r="C117" i="31"/>
  <c r="C128" i="31"/>
  <c r="C124" i="31"/>
  <c r="O89" i="3"/>
  <c r="B128" i="31"/>
  <c r="O97" i="3"/>
  <c r="C121" i="31"/>
  <c r="A7" i="3"/>
  <c r="A22" i="3"/>
  <c r="A16" i="3"/>
  <c r="A15" i="3"/>
  <c r="A14" i="3"/>
  <c r="A38" i="3"/>
  <c r="A39" i="3"/>
  <c r="A48" i="3"/>
  <c r="A47" i="3"/>
  <c r="A21" i="3"/>
  <c r="A13" i="3"/>
  <c r="A23" i="3"/>
  <c r="A29" i="3"/>
  <c r="A6" i="3"/>
  <c r="A32" i="3"/>
  <c r="A24" i="3"/>
  <c r="A8" i="3"/>
  <c r="A31" i="3"/>
  <c r="A40" i="3"/>
  <c r="A45" i="3"/>
  <c r="A37" i="3"/>
  <c r="A46" i="3"/>
  <c r="A5" i="3"/>
  <c r="A30" i="3"/>
  <c r="I33" i="3" l="1"/>
  <c r="N28" i="3"/>
  <c r="AI31" i="3"/>
  <c r="I30" i="3"/>
  <c r="BV31" i="3"/>
  <c r="BV24" i="3"/>
  <c r="I20" i="3"/>
  <c r="N24" i="3"/>
  <c r="AI24" i="3"/>
  <c r="N23" i="3"/>
  <c r="I4" i="3"/>
  <c r="BV6" i="3"/>
  <c r="I6" i="3"/>
  <c r="N9" i="3"/>
  <c r="AI6" i="3"/>
  <c r="I12" i="3"/>
  <c r="AI14" i="3"/>
  <c r="N17" i="3"/>
  <c r="BV14" i="3"/>
  <c r="I15" i="3"/>
  <c r="N25" i="3"/>
  <c r="AI22" i="3"/>
  <c r="I21" i="3"/>
  <c r="BV22" i="3"/>
  <c r="I23" i="3"/>
  <c r="I37" i="3"/>
  <c r="BV38" i="3"/>
  <c r="I39" i="3"/>
  <c r="AI38" i="3"/>
  <c r="N41" i="3"/>
  <c r="N46" i="3"/>
  <c r="I45" i="3"/>
  <c r="N49" i="3"/>
  <c r="AI48" i="3"/>
  <c r="BV48" i="3"/>
  <c r="N44" i="3"/>
  <c r="I47" i="3"/>
  <c r="BV47" i="3"/>
  <c r="I49" i="3"/>
  <c r="AI47" i="3"/>
  <c r="I46" i="3"/>
  <c r="AI46" i="3"/>
  <c r="N48" i="3"/>
  <c r="BV46" i="3"/>
  <c r="I44" i="3"/>
  <c r="N45" i="3"/>
  <c r="BV49" i="3"/>
  <c r="I48" i="3"/>
  <c r="AI49" i="3"/>
  <c r="N47" i="3"/>
  <c r="AI41" i="3"/>
  <c r="N38" i="3"/>
  <c r="I41" i="3"/>
  <c r="BV41" i="3"/>
  <c r="N36" i="3"/>
  <c r="AI40" i="3"/>
  <c r="N39" i="3"/>
  <c r="BV40" i="3"/>
  <c r="I36" i="3"/>
  <c r="N40" i="3"/>
  <c r="N31" i="3"/>
  <c r="AI32" i="3"/>
  <c r="N33" i="3"/>
  <c r="BV32" i="3"/>
  <c r="I29" i="3"/>
  <c r="I38" i="3"/>
  <c r="N37" i="3"/>
  <c r="AI39" i="3"/>
  <c r="BV39" i="3"/>
  <c r="I40" i="3"/>
  <c r="BV9" i="3"/>
  <c r="I9" i="3"/>
  <c r="B31" i="31" s="1"/>
  <c r="AI9" i="3"/>
  <c r="N7" i="3"/>
  <c r="N5" i="3"/>
  <c r="AI15" i="3"/>
  <c r="I14" i="3"/>
  <c r="BV15" i="3"/>
  <c r="I16" i="3"/>
  <c r="N12" i="3"/>
  <c r="N22" i="3"/>
  <c r="AI25" i="3"/>
  <c r="I25" i="3"/>
  <c r="BV25" i="3"/>
  <c r="N20" i="3"/>
  <c r="I13" i="3"/>
  <c r="BV16" i="3"/>
  <c r="N15" i="3"/>
  <c r="N16" i="3"/>
  <c r="AI16" i="3"/>
  <c r="I32" i="3"/>
  <c r="N30" i="3"/>
  <c r="BV33" i="3"/>
  <c r="N29" i="3"/>
  <c r="AI33" i="3"/>
  <c r="AI17" i="3"/>
  <c r="N13" i="3"/>
  <c r="N14" i="3"/>
  <c r="I17" i="3"/>
  <c r="BV17" i="3"/>
  <c r="I7" i="3"/>
  <c r="BV7" i="3"/>
  <c r="N4" i="3"/>
  <c r="AI7" i="3"/>
  <c r="I8" i="3"/>
  <c r="I24" i="3"/>
  <c r="BV23" i="3"/>
  <c r="N21" i="3"/>
  <c r="I22" i="3"/>
  <c r="AI23" i="3"/>
  <c r="I28" i="3"/>
  <c r="AI30" i="3"/>
  <c r="N32" i="3"/>
  <c r="BV30" i="3"/>
  <c r="I31" i="3"/>
  <c r="N6" i="3"/>
  <c r="AI8" i="3"/>
  <c r="I5" i="3"/>
  <c r="BV8" i="3"/>
  <c r="N8" i="3"/>
  <c r="B33" i="31" l="1"/>
  <c r="B12" i="31"/>
  <c r="B40" i="31"/>
  <c r="B14" i="31"/>
  <c r="B35" i="31"/>
  <c r="B26" i="31"/>
  <c r="B22" i="31"/>
  <c r="B34" i="31"/>
  <c r="B7" i="31"/>
  <c r="B17" i="31"/>
  <c r="B25" i="31"/>
  <c r="B19" i="31"/>
  <c r="B20" i="31"/>
  <c r="B39" i="31"/>
  <c r="AL33" i="3" a="1"/>
  <c r="AL33" i="3" s="1"/>
  <c r="AK33" i="3"/>
  <c r="AO33" i="3" a="1"/>
  <c r="AO33" i="3" s="1"/>
  <c r="AN33" i="3" a="1"/>
  <c r="AN33" i="3" s="1"/>
  <c r="AP33" i="3" a="1"/>
  <c r="AP33" i="3" s="1"/>
  <c r="AM33" i="3" a="1"/>
  <c r="AM33" i="3" s="1"/>
  <c r="AY33" i="3"/>
  <c r="B11" i="31"/>
  <c r="B6" i="31"/>
  <c r="AP25" i="3" a="1"/>
  <c r="AP25" i="3" s="1"/>
  <c r="AO25" i="3" a="1"/>
  <c r="AO25" i="3" s="1"/>
  <c r="AN25" i="3" a="1"/>
  <c r="AN25" i="3" s="1"/>
  <c r="AM25" i="3" a="1"/>
  <c r="AM25" i="3" s="1"/>
  <c r="AK25" i="3"/>
  <c r="AL25" i="3" a="1"/>
  <c r="AL25" i="3" s="1"/>
  <c r="AY25" i="3"/>
  <c r="B38" i="31"/>
  <c r="AL48" i="3" a="1"/>
  <c r="AL48" i="3" s="1"/>
  <c r="AK48" i="3"/>
  <c r="AP48" i="3" a="1"/>
  <c r="AP48" i="3" s="1"/>
  <c r="AY48" i="3"/>
  <c r="AN48" i="3" a="1"/>
  <c r="AN48" i="3" s="1"/>
  <c r="AO48" i="3" a="1"/>
  <c r="AO48" i="3" s="1"/>
  <c r="AM48" i="3" a="1"/>
  <c r="AM48" i="3" s="1"/>
  <c r="AP22" i="3" a="1"/>
  <c r="AP22" i="3" s="1"/>
  <c r="AK22" i="3"/>
  <c r="AO22" i="3" a="1"/>
  <c r="AO22" i="3" s="1"/>
  <c r="AN22" i="3" a="1"/>
  <c r="AN22" i="3" s="1"/>
  <c r="AM22" i="3" a="1"/>
  <c r="AM22" i="3" s="1"/>
  <c r="AY22" i="3"/>
  <c r="AL22" i="3" a="1"/>
  <c r="AL22" i="3" s="1"/>
  <c r="AP8" i="3" a="1"/>
  <c r="AP8" i="3" s="1"/>
  <c r="AK8" i="3"/>
  <c r="AN8" i="3" a="1"/>
  <c r="AN8" i="3" s="1"/>
  <c r="AM8" i="3" a="1"/>
  <c r="AM8" i="3" s="1"/>
  <c r="AY8" i="3"/>
  <c r="AO8" i="3" a="1"/>
  <c r="AO8" i="3" s="1"/>
  <c r="AL8" i="3" a="1"/>
  <c r="AL8" i="3" s="1"/>
  <c r="B30" i="31"/>
  <c r="B16" i="31"/>
  <c r="AM24" i="3" a="1"/>
  <c r="AM24" i="3" s="1"/>
  <c r="AN24" i="3" a="1"/>
  <c r="AN24" i="3" s="1"/>
  <c r="AY24" i="3"/>
  <c r="AP24" i="3" a="1"/>
  <c r="AP24" i="3" s="1"/>
  <c r="AL24" i="3" a="1"/>
  <c r="AL24" i="3" s="1"/>
  <c r="AK24" i="3"/>
  <c r="AO24" i="3" a="1"/>
  <c r="AO24" i="3" s="1"/>
  <c r="AY7" i="3"/>
  <c r="AO7" i="3" a="1"/>
  <c r="AO7" i="3" s="1"/>
  <c r="AM7" i="3" a="1"/>
  <c r="AM7" i="3" s="1"/>
  <c r="AN7" i="3" a="1"/>
  <c r="AN7" i="3" s="1"/>
  <c r="AK7" i="3"/>
  <c r="AL7" i="3" a="1"/>
  <c r="AL7" i="3" s="1"/>
  <c r="AP7" i="3" a="1"/>
  <c r="AP7" i="3" s="1"/>
  <c r="AN39" i="3" a="1"/>
  <c r="AN39" i="3" s="1"/>
  <c r="AO39" i="3" a="1"/>
  <c r="AO39" i="3" s="1"/>
  <c r="AY39" i="3"/>
  <c r="AP39" i="3" a="1"/>
  <c r="AP39" i="3" s="1"/>
  <c r="AK39" i="3"/>
  <c r="AM39" i="3" a="1"/>
  <c r="AM39" i="3" s="1"/>
  <c r="AL39" i="3" a="1"/>
  <c r="AL39" i="3" s="1"/>
  <c r="AY40" i="3"/>
  <c r="AK40" i="3"/>
  <c r="AO40" i="3" a="1"/>
  <c r="AO40" i="3" s="1"/>
  <c r="AN40" i="3" a="1"/>
  <c r="AN40" i="3" s="1"/>
  <c r="AP40" i="3" a="1"/>
  <c r="AP40" i="3" s="1"/>
  <c r="AM40" i="3" a="1"/>
  <c r="AM40" i="3" s="1"/>
  <c r="AL40" i="3" a="1"/>
  <c r="AL40" i="3" s="1"/>
  <c r="B21" i="31"/>
  <c r="B36" i="31"/>
  <c r="B32" i="31"/>
  <c r="B10" i="31"/>
  <c r="AL16" i="3" a="1"/>
  <c r="AL16" i="3" s="1"/>
  <c r="AM16" i="3" a="1"/>
  <c r="AM16" i="3" s="1"/>
  <c r="AN16" i="3" a="1"/>
  <c r="AN16" i="3" s="1"/>
  <c r="AY16" i="3"/>
  <c r="AK16" i="3"/>
  <c r="AO16" i="3" a="1"/>
  <c r="AO16" i="3" s="1"/>
  <c r="AP16" i="3" a="1"/>
  <c r="AP16" i="3" s="1"/>
  <c r="AY46" i="3"/>
  <c r="AL46" i="3" a="1"/>
  <c r="AL46" i="3" s="1"/>
  <c r="AP46" i="3" a="1"/>
  <c r="AP46" i="3" s="1"/>
  <c r="AO46" i="3" a="1"/>
  <c r="AO46" i="3" s="1"/>
  <c r="AN46" i="3" a="1"/>
  <c r="AN46" i="3" s="1"/>
  <c r="AK46" i="3"/>
  <c r="AM46" i="3" a="1"/>
  <c r="AM46" i="3" s="1"/>
  <c r="B13" i="31"/>
  <c r="B28" i="31"/>
  <c r="AY38" i="3"/>
  <c r="AM38" i="3" a="1"/>
  <c r="AM38" i="3" s="1"/>
  <c r="AN38" i="3" a="1"/>
  <c r="AN38" i="3" s="1"/>
  <c r="AK38" i="3"/>
  <c r="AO38" i="3" a="1"/>
  <c r="AO38" i="3" s="1"/>
  <c r="AP38" i="3" a="1"/>
  <c r="AP38" i="3" s="1"/>
  <c r="AL38" i="3" a="1"/>
  <c r="AL38" i="3" s="1"/>
  <c r="AP14" i="3" a="1"/>
  <c r="AP14" i="3" s="1"/>
  <c r="AO14" i="3" a="1"/>
  <c r="AO14" i="3" s="1"/>
  <c r="AL14" i="3" a="1"/>
  <c r="AL14" i="3" s="1"/>
  <c r="AK14" i="3"/>
  <c r="AM14" i="3" a="1"/>
  <c r="AM14" i="3" s="1"/>
  <c r="AY14" i="3"/>
  <c r="AN14" i="3" a="1"/>
  <c r="AN14" i="3" s="1"/>
  <c r="AP30" i="3" a="1"/>
  <c r="AP30" i="3" s="1"/>
  <c r="AL30" i="3" a="1"/>
  <c r="AL30" i="3" s="1"/>
  <c r="AY30" i="3"/>
  <c r="AO30" i="3" a="1"/>
  <c r="AO30" i="3" s="1"/>
  <c r="AK30" i="3"/>
  <c r="AN30" i="3" a="1"/>
  <c r="AN30" i="3" s="1"/>
  <c r="AM30" i="3" a="1"/>
  <c r="AM30" i="3" s="1"/>
  <c r="AO15" i="3" a="1"/>
  <c r="AO15" i="3" s="1"/>
  <c r="AK15" i="3"/>
  <c r="AM15" i="3" a="1"/>
  <c r="AM15" i="3" s="1"/>
  <c r="AY15" i="3"/>
  <c r="AN15" i="3" a="1"/>
  <c r="AN15" i="3" s="1"/>
  <c r="AL15" i="3" a="1"/>
  <c r="AL15" i="3" s="1"/>
  <c r="AP15" i="3" a="1"/>
  <c r="AP15" i="3" s="1"/>
  <c r="AO47" i="3" a="1"/>
  <c r="AO47" i="3" s="1"/>
  <c r="AL47" i="3" a="1"/>
  <c r="AL47" i="3" s="1"/>
  <c r="AN47" i="3" a="1"/>
  <c r="AN47" i="3" s="1"/>
  <c r="AY47" i="3"/>
  <c r="AM47" i="3" a="1"/>
  <c r="AM47" i="3" s="1"/>
  <c r="AK47" i="3"/>
  <c r="AP47" i="3" a="1"/>
  <c r="AP47" i="3" s="1"/>
  <c r="B27" i="31"/>
  <c r="B8" i="31"/>
  <c r="B24" i="31"/>
  <c r="AO17" i="3" a="1"/>
  <c r="AO17" i="3" s="1"/>
  <c r="AM17" i="3" a="1"/>
  <c r="AM17" i="3" s="1"/>
  <c r="AN17" i="3" a="1"/>
  <c r="AN17" i="3" s="1"/>
  <c r="AY17" i="3"/>
  <c r="AP17" i="3" a="1"/>
  <c r="AP17" i="3" s="1"/>
  <c r="AL17" i="3" a="1"/>
  <c r="AL17" i="3" s="1"/>
  <c r="AK17" i="3"/>
  <c r="AL41" i="3" a="1"/>
  <c r="AL41" i="3" s="1"/>
  <c r="AP41" i="3" a="1"/>
  <c r="AP41" i="3" s="1"/>
  <c r="AN41" i="3" a="1"/>
  <c r="AN41" i="3" s="1"/>
  <c r="AM41" i="3" a="1"/>
  <c r="AM41" i="3" s="1"/>
  <c r="AK41" i="3"/>
  <c r="AO41" i="3" a="1"/>
  <c r="AO41" i="3" s="1"/>
  <c r="AY41" i="3"/>
  <c r="B41" i="31"/>
  <c r="AM6" i="3" a="1"/>
  <c r="AM6" i="3" s="1"/>
  <c r="AK6" i="3"/>
  <c r="AL6" i="3" a="1"/>
  <c r="AL6" i="3" s="1"/>
  <c r="AY6" i="3"/>
  <c r="AO6" i="3" a="1"/>
  <c r="AO6" i="3" s="1"/>
  <c r="AN6" i="3" a="1"/>
  <c r="AN6" i="3" s="1"/>
  <c r="AP6" i="3" a="1"/>
  <c r="AP6" i="3" s="1"/>
  <c r="AO31" i="3" a="1"/>
  <c r="AO31" i="3" s="1"/>
  <c r="AM31" i="3" a="1"/>
  <c r="AM31" i="3" s="1"/>
  <c r="AN31" i="3" a="1"/>
  <c r="AN31" i="3" s="1"/>
  <c r="AP31" i="3" a="1"/>
  <c r="AP31" i="3" s="1"/>
  <c r="AY31" i="3"/>
  <c r="AK31" i="3"/>
  <c r="AL31" i="3" a="1"/>
  <c r="AL31" i="3" s="1"/>
  <c r="AL23" i="3" a="1"/>
  <c r="AL23" i="3" s="1"/>
  <c r="AO23" i="3" a="1"/>
  <c r="AO23" i="3" s="1"/>
  <c r="AM23" i="3" a="1"/>
  <c r="AM23" i="3" s="1"/>
  <c r="AN23" i="3" a="1"/>
  <c r="AN23" i="3" s="1"/>
  <c r="AY23" i="3"/>
  <c r="AK23" i="3"/>
  <c r="AP23" i="3" a="1"/>
  <c r="AP23" i="3" s="1"/>
  <c r="B9" i="31"/>
  <c r="AM32" i="3" a="1"/>
  <c r="AM32" i="3" s="1"/>
  <c r="AK32" i="3"/>
  <c r="AY32" i="3"/>
  <c r="AN32" i="3" a="1"/>
  <c r="AN32" i="3" s="1"/>
  <c r="AL32" i="3" a="1"/>
  <c r="AL32" i="3" s="1"/>
  <c r="AP32" i="3" a="1"/>
  <c r="AP32" i="3" s="1"/>
  <c r="AO32" i="3" a="1"/>
  <c r="AO32" i="3" s="1"/>
  <c r="B15" i="31"/>
  <c r="AN9" i="3" a="1"/>
  <c r="AN9" i="3" s="1"/>
  <c r="AK9" i="3"/>
  <c r="AP9" i="3" a="1"/>
  <c r="AP9" i="3" s="1"/>
  <c r="AO9" i="3" a="1"/>
  <c r="AO9" i="3" s="1"/>
  <c r="AM9" i="3" a="1"/>
  <c r="AM9" i="3" s="1"/>
  <c r="AY9" i="3"/>
  <c r="AL9" i="3" a="1"/>
  <c r="AL9" i="3" s="1"/>
  <c r="AY49" i="3"/>
  <c r="AM49" i="3" a="1"/>
  <c r="AM49" i="3" s="1"/>
  <c r="AN49" i="3" a="1"/>
  <c r="AN49" i="3" s="1"/>
  <c r="AO49" i="3" a="1"/>
  <c r="AO49" i="3" s="1"/>
  <c r="AK49" i="3"/>
  <c r="AL49" i="3" a="1"/>
  <c r="AL49" i="3" s="1"/>
  <c r="AP49" i="3" a="1"/>
  <c r="AP49" i="3" s="1"/>
  <c r="B29" i="31"/>
  <c r="B23" i="31"/>
  <c r="B18" i="31"/>
  <c r="B37" i="31"/>
  <c r="AQ15" i="3" l="1"/>
  <c r="AQ8" i="3"/>
  <c r="AQ24" i="3"/>
  <c r="AQ48" i="3"/>
  <c r="AQ31" i="3"/>
  <c r="AJ6" i="3"/>
  <c r="AQ41" i="3"/>
  <c r="AJ7" i="3"/>
  <c r="AJ16" i="3"/>
  <c r="AQ33" i="3"/>
  <c r="AQ6" i="3"/>
  <c r="AJ41" i="3"/>
  <c r="AQ49" i="3"/>
  <c r="AJ32" i="3"/>
  <c r="AJ17" i="3"/>
  <c r="AQ40" i="3"/>
  <c r="AJ14" i="3"/>
  <c r="AQ7" i="3"/>
  <c r="AJ33" i="3"/>
  <c r="AJ31" i="3"/>
  <c r="AJ38" i="3"/>
  <c r="AQ30" i="3"/>
  <c r="AJ23" i="3"/>
  <c r="AJ9" i="3"/>
  <c r="AQ47" i="3"/>
  <c r="AJ24" i="3"/>
  <c r="AQ23" i="3"/>
  <c r="AQ9" i="3"/>
  <c r="AJ15" i="3"/>
  <c r="AJ22" i="3"/>
  <c r="AQ46" i="3"/>
  <c r="AQ25" i="3"/>
  <c r="BE5" i="3"/>
  <c r="BE8" i="3" s="1" a="1"/>
  <c r="BE8" i="3" s="1"/>
  <c r="BF5" i="3"/>
  <c r="BF6" i="3" s="1" a="1"/>
  <c r="BF6" i="3" s="1"/>
  <c r="BG45" i="3"/>
  <c r="BG48" i="3" s="1" a="1"/>
  <c r="BG48" i="3" s="1"/>
  <c r="AQ38" i="3"/>
  <c r="AJ46" i="3"/>
  <c r="BE37" i="3"/>
  <c r="BF45" i="3"/>
  <c r="BF49" i="3" s="1" a="1"/>
  <c r="BF49" i="3" s="1"/>
  <c r="BD29" i="3"/>
  <c r="BD33" i="3" s="1" a="1"/>
  <c r="BD33" i="3" s="1"/>
  <c r="BG37" i="3"/>
  <c r="BG38" i="3" s="1" a="1"/>
  <c r="BG38" i="3" s="1"/>
  <c r="AJ30" i="3"/>
  <c r="BD45" i="3"/>
  <c r="BD48" i="3" s="1" a="1"/>
  <c r="BD48" i="3" s="1"/>
  <c r="AJ40" i="3"/>
  <c r="AQ39" i="3"/>
  <c r="AH76" i="3"/>
  <c r="BF21" i="3"/>
  <c r="BF23" i="3" s="1" a="1"/>
  <c r="BF23" i="3" s="1"/>
  <c r="BG29" i="3"/>
  <c r="AQ16" i="3"/>
  <c r="BD21" i="3"/>
  <c r="BD24" i="3" s="1" a="1"/>
  <c r="BD24" i="3" s="1"/>
  <c r="AJ48" i="3"/>
  <c r="BF29" i="3"/>
  <c r="BF30" i="3" s="1" a="1"/>
  <c r="BF30" i="3" s="1"/>
  <c r="BG5" i="3"/>
  <c r="BG6" i="3" s="1" a="1"/>
  <c r="BG6" i="3" s="1"/>
  <c r="BE13" i="3"/>
  <c r="BD13" i="3"/>
  <c r="BD16" i="3" s="1" a="1"/>
  <c r="BD16" i="3" s="1"/>
  <c r="BD37" i="3"/>
  <c r="BD40" i="3" s="1" a="1"/>
  <c r="BD40" i="3" s="1"/>
  <c r="BE45" i="3"/>
  <c r="BE46" i="3" s="1" a="1"/>
  <c r="BE46" i="3" s="1"/>
  <c r="AJ47" i="3"/>
  <c r="AQ17" i="3"/>
  <c r="BE21" i="3"/>
  <c r="BE22" i="3" s="1" a="1"/>
  <c r="BE22" i="3" s="1"/>
  <c r="BF13" i="3"/>
  <c r="BF14" i="3" s="1" a="1"/>
  <c r="BF14" i="3" s="1"/>
  <c r="BG21" i="3"/>
  <c r="BG23" i="3" s="1" a="1"/>
  <c r="BG23" i="3" s="1"/>
  <c r="BD5" i="3"/>
  <c r="BD8" i="3" s="1" a="1"/>
  <c r="BD8" i="3" s="1"/>
  <c r="BG13" i="3"/>
  <c r="BG14" i="3" s="1" a="1"/>
  <c r="BG14" i="3" s="1"/>
  <c r="BE29" i="3"/>
  <c r="BE32" i="3" s="1" a="1"/>
  <c r="BE32" i="3" s="1"/>
  <c r="AJ49" i="3"/>
  <c r="AQ22" i="3"/>
  <c r="AJ25" i="3"/>
  <c r="AQ32" i="3"/>
  <c r="BF37" i="3"/>
  <c r="BF41" i="3" s="1" a="1"/>
  <c r="BF41" i="3" s="1"/>
  <c r="AJ8" i="3"/>
  <c r="AQ14" i="3"/>
  <c r="AJ39" i="3"/>
  <c r="BD31" i="3" l="1" a="1"/>
  <c r="BD31" i="3" s="1"/>
  <c r="BF22" i="3" a="1"/>
  <c r="BF22" i="3" s="1"/>
  <c r="BL22" i="3" s="1"/>
  <c r="BI22" i="3" s="1"/>
  <c r="BF25" i="3" a="1"/>
  <c r="BF25" i="3" s="1"/>
  <c r="BD23" i="3" a="1"/>
  <c r="BD23" i="3" s="1"/>
  <c r="BK22" i="3" s="1"/>
  <c r="BG46" i="3" a="1"/>
  <c r="BG46" i="3" s="1"/>
  <c r="BG47" i="3" a="1"/>
  <c r="BG47" i="3" s="1"/>
  <c r="AZ23" i="3"/>
  <c r="BD25" i="3" a="1"/>
  <c r="BD25" i="3" s="1"/>
  <c r="AZ15" i="3"/>
  <c r="BE6" i="3" a="1"/>
  <c r="BE6" i="3" s="1"/>
  <c r="BF9" i="3" a="1"/>
  <c r="BF9" i="3" s="1"/>
  <c r="BG40" i="3" a="1"/>
  <c r="BG40" i="3" s="1"/>
  <c r="BL41" i="3" s="1"/>
  <c r="BE9" i="3" a="1"/>
  <c r="BE9" i="3" s="1"/>
  <c r="AZ14" i="3"/>
  <c r="AZ17" i="3"/>
  <c r="BD47" i="3" a="1"/>
  <c r="BD47" i="3" s="1"/>
  <c r="BK46" i="3" s="1"/>
  <c r="BD32" i="3" a="1"/>
  <c r="BD32" i="3" s="1"/>
  <c r="BL30" i="3" s="1"/>
  <c r="BL49" i="3"/>
  <c r="AZ16" i="3"/>
  <c r="AZ31" i="3"/>
  <c r="BF31" i="3" a="1"/>
  <c r="BF31" i="3" s="1"/>
  <c r="BL31" i="3" s="1"/>
  <c r="AZ33" i="3"/>
  <c r="BF46" i="3" a="1"/>
  <c r="BF46" i="3" s="1"/>
  <c r="BJ48" i="3" s="1"/>
  <c r="BG15" i="3" a="1"/>
  <c r="BG15" i="3" s="1"/>
  <c r="BD17" i="3" a="1"/>
  <c r="BD17" i="3" s="1"/>
  <c r="BM14" i="3" s="1"/>
  <c r="BF15" i="3" a="1"/>
  <c r="BF15" i="3" s="1"/>
  <c r="BF47" i="3" a="1"/>
  <c r="BF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AZ48" i="3"/>
  <c r="BE33" i="3" a="1"/>
  <c r="BE33" i="3" s="1"/>
  <c r="BD39" i="3" a="1"/>
  <c r="BD39" i="3" s="1"/>
  <c r="BM5" i="3"/>
  <c r="BS5" i="3"/>
  <c r="AZ30" i="3"/>
  <c r="BF39" i="3" a="1"/>
  <c r="BF39" i="3" s="1"/>
  <c r="BE49" i="3" a="1"/>
  <c r="BE49" i="3" s="1"/>
  <c r="BG7" i="3" a="1"/>
  <c r="BG7" i="3" s="1"/>
  <c r="AZ38" i="3"/>
  <c r="BK37" i="3"/>
  <c r="BQ37" i="3"/>
  <c r="BK13" i="3"/>
  <c r="BQ13" i="3"/>
  <c r="AZ40" i="3"/>
  <c r="BM37" i="3"/>
  <c r="BS37" i="3"/>
  <c r="BE30" i="3" a="1"/>
  <c r="BE30" i="3" s="1"/>
  <c r="AZ46" i="3"/>
  <c r="BK5" i="3"/>
  <c r="BQ5" i="3"/>
  <c r="AZ9" i="3"/>
  <c r="BC6" i="3"/>
  <c r="BR21" i="3"/>
  <c r="BL21" i="3"/>
  <c r="BM29" i="3"/>
  <c r="BS29" i="3"/>
  <c r="BD41" i="3" a="1"/>
  <c r="BD41" i="3" s="1"/>
  <c r="BJ41" i="3" s="1"/>
  <c r="BK29" i="3"/>
  <c r="BQ29" i="3"/>
  <c r="AZ49" i="3"/>
  <c r="BF17" i="3" a="1"/>
  <c r="BF17" i="3" s="1"/>
  <c r="BE16" i="3" a="1"/>
  <c r="BE16" i="3" s="1"/>
  <c r="AZ47" i="3"/>
  <c r="BE38" i="3" a="1"/>
  <c r="BE38" i="3" s="1"/>
  <c r="BP13" i="3"/>
  <c r="BJ13" i="3"/>
  <c r="BG32" i="3" a="1"/>
  <c r="BG32" i="3" s="1"/>
  <c r="BC32" i="3" s="1"/>
  <c r="BJ21" i="3"/>
  <c r="BP21" i="3"/>
  <c r="BE41" i="3" a="1"/>
  <c r="BE41" i="3" s="1"/>
  <c r="BC41" i="3" s="1"/>
  <c r="AZ24" i="3"/>
  <c r="BR5" i="3"/>
  <c r="BL5" i="3"/>
  <c r="BP5" i="3"/>
  <c r="BJ5" i="3"/>
  <c r="BG30" i="3" a="1"/>
  <c r="BG30" i="3" s="1"/>
  <c r="BM30" i="3" s="1"/>
  <c r="AZ8" i="3"/>
  <c r="BG31" i="3" a="1"/>
  <c r="BG31" i="3" s="1"/>
  <c r="BJ16" i="3"/>
  <c r="BG24" i="3" a="1"/>
  <c r="BG24" i="3" s="1"/>
  <c r="BP45" i="3"/>
  <c r="BJ45" i="3"/>
  <c r="BE48" i="3" a="1"/>
  <c r="BE48" i="3" s="1"/>
  <c r="BG39" i="3" a="1"/>
  <c r="BG39" i="3" s="1"/>
  <c r="BG8" i="3" a="1"/>
  <c r="BG8" i="3" s="1"/>
  <c r="AZ41" i="3"/>
  <c r="BK21" i="3"/>
  <c r="BQ21" i="3"/>
  <c r="BR37" i="3"/>
  <c r="BL37" i="3"/>
  <c r="AZ25" i="3"/>
  <c r="BM13" i="3"/>
  <c r="BS13" i="3"/>
  <c r="BG16" i="3" a="1"/>
  <c r="BG16" i="3" s="1"/>
  <c r="BF38" i="3" a="1"/>
  <c r="BF38" i="3" s="1"/>
  <c r="BL38" i="3" s="1"/>
  <c r="BL29" i="3"/>
  <c r="BR29" i="3"/>
  <c r="AZ6" i="3"/>
  <c r="BM48" i="3"/>
  <c r="BM45" i="3"/>
  <c r="BS45" i="3"/>
  <c r="BE14" i="3" a="1"/>
  <c r="BE14" i="3" s="1"/>
  <c r="BE17" i="3" a="1"/>
  <c r="BE17" i="3" s="1"/>
  <c r="BL13" i="3"/>
  <c r="BR13" i="3"/>
  <c r="AZ22" i="3"/>
  <c r="BL45" i="3"/>
  <c r="BR45" i="3"/>
  <c r="BD7" i="3" a="1"/>
  <c r="BD7" i="3" s="1"/>
  <c r="BL6" i="3"/>
  <c r="AZ39" i="3"/>
  <c r="BE40" i="3" a="1"/>
  <c r="BE40" i="3" s="1"/>
  <c r="BQ45" i="3"/>
  <c r="BK45" i="3"/>
  <c r="AZ7" i="3"/>
  <c r="BC23" i="3"/>
  <c r="BF33" i="3" a="1"/>
  <c r="BF33" i="3" s="1"/>
  <c r="BP29" i="3"/>
  <c r="BJ29" i="3"/>
  <c r="BD49" i="3" a="1"/>
  <c r="BD49" i="3" s="1"/>
  <c r="AZ32" i="3"/>
  <c r="BC47" i="3" l="1"/>
  <c r="BJ49" i="3"/>
  <c r="BM24" i="3"/>
  <c r="BM31" i="3"/>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I31"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I17" i="3" s="1"/>
  <c r="BC17" i="3"/>
  <c r="BC8" i="3"/>
  <c r="BC30" i="3"/>
  <c r="BQ49" i="3" a="1"/>
  <c r="BQ49" i="3" s="1"/>
  <c r="BQ46" i="3" a="1"/>
  <c r="BQ46" i="3" s="1"/>
  <c r="BQ48" i="3" a="1"/>
  <c r="BQ48" i="3" s="1"/>
  <c r="BK6" i="3"/>
  <c r="BI6" i="3" s="1"/>
  <c r="BJ9" i="3"/>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I9" i="3" l="1"/>
  <c r="BH8" i="3" s="1"/>
  <c r="BO9" i="3"/>
  <c r="BO14" i="3"/>
  <c r="BB25" i="3"/>
  <c r="BH6"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B14" i="3"/>
  <c r="BB15" i="3"/>
  <c r="BB24" i="3"/>
  <c r="BO46" i="3"/>
  <c r="BO30" i="3"/>
  <c r="BB23" i="3"/>
  <c r="BB49" i="3"/>
  <c r="BB30" i="3"/>
  <c r="BB22" i="3"/>
  <c r="BO33" i="3"/>
  <c r="BO38" i="3"/>
  <c r="BI15" i="3"/>
  <c r="BH15" i="3" s="1"/>
  <c r="BB48" i="3"/>
  <c r="BB31" i="3"/>
  <c r="BB38" i="3"/>
  <c r="BO17" i="3"/>
  <c r="BO39" i="3"/>
  <c r="BB46" i="3"/>
  <c r="BO23" i="3"/>
  <c r="BO48" i="3"/>
  <c r="BB16" i="3"/>
  <c r="BO8" i="3"/>
  <c r="BH9" i="3"/>
  <c r="BB8" i="3"/>
  <c r="BB9" i="3"/>
  <c r="BH25" i="3"/>
  <c r="BB17" i="3"/>
  <c r="BO7" i="3"/>
  <c r="BO24" i="3"/>
  <c r="BH7" i="3" l="1"/>
  <c r="BH49" i="3"/>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G46" i="3" s="1"/>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9" i="3" l="1"/>
  <c r="R49" i="3"/>
  <c r="AG47" i="3"/>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I81" i="3" l="1"/>
  <c r="I87" i="3" s="1"/>
  <c r="R47" i="3"/>
  <c r="T47" i="3" s="1"/>
  <c r="R46" i="3"/>
  <c r="AI62" i="3"/>
  <c r="AJ82" i="3"/>
  <c r="AO62" i="3"/>
  <c r="R48" i="3"/>
  <c r="AL82" i="3"/>
  <c r="AI82" i="3"/>
  <c r="AK62" i="3"/>
  <c r="AK82" i="3"/>
  <c r="C75" i="31"/>
  <c r="I78" i="3" a="1"/>
  <c r="I78" i="3" s="1"/>
  <c r="AL79" i="3"/>
  <c r="AO59" i="3"/>
  <c r="AM79" i="3"/>
  <c r="AQ59" i="3"/>
  <c r="AL59" i="3"/>
  <c r="AQ79" i="3"/>
  <c r="AP59" i="3"/>
  <c r="AI79" i="3"/>
  <c r="AM59" i="3"/>
  <c r="AN59" i="3"/>
  <c r="AO79" i="3"/>
  <c r="AI59" i="3"/>
  <c r="AK59" i="3"/>
  <c r="AP79" i="3"/>
  <c r="AJ79" i="3"/>
  <c r="AN79" i="3"/>
  <c r="AJ59" i="3"/>
  <c r="AK79" i="3"/>
  <c r="A62" i="3"/>
  <c r="BV62" i="3" s="1"/>
  <c r="AF48" i="3"/>
  <c r="S48" i="3"/>
  <c r="U48" i="3"/>
  <c r="T48" i="3"/>
  <c r="Y48" i="3"/>
  <c r="V48" i="3"/>
  <c r="W48" i="3"/>
  <c r="X48" i="3"/>
  <c r="Z48" i="3"/>
  <c r="AQ82" i="3"/>
  <c r="AX88" i="3"/>
  <c r="AY82" i="3"/>
  <c r="AY85" i="3"/>
  <c r="AY86" i="3"/>
  <c r="AX91" i="3"/>
  <c r="AY81" i="3"/>
  <c r="AX90" i="3"/>
  <c r="AX84" i="3"/>
  <c r="AX89" i="3"/>
  <c r="AY79"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AI81" i="3"/>
  <c r="AO81" i="3"/>
  <c r="AM81" i="3"/>
  <c r="AK81" i="3"/>
  <c r="AL81" i="3"/>
  <c r="AL62" i="3"/>
  <c r="AO82" i="3"/>
  <c r="S46" i="3"/>
  <c r="W46" i="3"/>
  <c r="V46" i="3"/>
  <c r="Z46" i="3"/>
  <c r="Y46" i="3"/>
  <c r="X46" i="3"/>
  <c r="T46" i="3"/>
  <c r="U46" i="3"/>
  <c r="AF46" i="3"/>
  <c r="AN78" i="3"/>
  <c r="AL78" i="3"/>
  <c r="AQ58" i="3"/>
  <c r="AL58" i="3"/>
  <c r="AN58" i="3"/>
  <c r="AK78" i="3"/>
  <c r="AI58" i="3"/>
  <c r="AO58" i="3"/>
  <c r="AJ58" i="3"/>
  <c r="AM58" i="3"/>
  <c r="AP78" i="3"/>
  <c r="AI78" i="3"/>
  <c r="AO78" i="3"/>
  <c r="AP58" i="3"/>
  <c r="AM78" i="3"/>
  <c r="AQ78" i="3"/>
  <c r="AK58" i="3"/>
  <c r="AJ78" i="3"/>
  <c r="AN62" i="3"/>
  <c r="AQ62" i="3"/>
  <c r="AP62" i="3"/>
  <c r="AM62" i="3"/>
  <c r="Y49" i="3"/>
  <c r="T49" i="3"/>
  <c r="X49" i="3"/>
  <c r="Z49" i="3"/>
  <c r="AF49" i="3"/>
  <c r="W49" i="3"/>
  <c r="S49" i="3"/>
  <c r="V49" i="3"/>
  <c r="U49" i="3"/>
  <c r="AM82" i="3"/>
  <c r="AN82" i="3"/>
  <c r="AP82" i="3"/>
  <c r="N82" i="3"/>
  <c r="AJ62" i="3"/>
  <c r="BW62" i="3" s="1"/>
  <c r="R22" i="3"/>
  <c r="W22" i="3" s="1"/>
  <c r="I83" i="3"/>
  <c r="I90" i="3" s="1"/>
  <c r="N80" i="3"/>
  <c r="R38" i="3"/>
  <c r="R40" i="3"/>
  <c r="R39" i="3"/>
  <c r="R41" i="3"/>
  <c r="N77" i="3"/>
  <c r="C79" i="31" s="1"/>
  <c r="I82" i="3"/>
  <c r="I80" i="3"/>
  <c r="R31" i="3"/>
  <c r="R30" i="3"/>
  <c r="R33" i="3"/>
  <c r="R32" i="3"/>
  <c r="R25" i="3"/>
  <c r="R23" i="3"/>
  <c r="R24" i="3"/>
  <c r="I79" i="3"/>
  <c r="I88" i="3" s="1"/>
  <c r="N76" i="3" a="1"/>
  <c r="N76" i="3" s="1"/>
  <c r="R17" i="3"/>
  <c r="R14" i="3"/>
  <c r="R16" i="3"/>
  <c r="R15" i="3"/>
  <c r="R6" i="3"/>
  <c r="I76" i="3" a="1"/>
  <c r="I76" i="3" s="1"/>
  <c r="I77" i="3"/>
  <c r="N88" i="3" s="1"/>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C82" i="31" l="1"/>
  <c r="N87" i="3"/>
  <c r="U47" i="3"/>
  <c r="C101" i="31"/>
  <c r="O83" i="3"/>
  <c r="C84" i="31"/>
  <c r="N90" i="3"/>
  <c r="O81" i="3"/>
  <c r="C98" i="31"/>
  <c r="B108" i="31"/>
  <c r="C108" i="31"/>
  <c r="AF47" i="3"/>
  <c r="C99" i="31"/>
  <c r="O79" i="3"/>
  <c r="BW61" i="3"/>
  <c r="BW60" i="3"/>
  <c r="V47" i="3"/>
  <c r="Y47" i="3"/>
  <c r="C72" i="31"/>
  <c r="I89" i="3"/>
  <c r="B109" i="31"/>
  <c r="C109" i="31"/>
  <c r="O77" i="3"/>
  <c r="C103" i="31"/>
  <c r="C78" i="31"/>
  <c r="N89" i="3"/>
  <c r="BW59" i="3"/>
  <c r="Z47" i="3"/>
  <c r="S47" i="3"/>
  <c r="X47" i="3"/>
  <c r="W47" i="3"/>
  <c r="T22" i="3"/>
  <c r="AZ78" i="3"/>
  <c r="AZ79" i="3"/>
  <c r="AZ87" i="3"/>
  <c r="BA90" i="3"/>
  <c r="BA89" i="3"/>
  <c r="BA81" i="3"/>
  <c r="BA88" i="3"/>
  <c r="BA80" i="3"/>
  <c r="AZ82" i="3"/>
  <c r="AZ77" i="3"/>
  <c r="X22" i="3"/>
  <c r="U22" i="3"/>
  <c r="C65" i="31"/>
  <c r="C66" i="31"/>
  <c r="C64" i="31"/>
  <c r="C67" i="31"/>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BU60" i="3" s="1"/>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O80" i="3" l="1"/>
  <c r="C102" i="31"/>
  <c r="C111" i="31"/>
  <c r="C105" i="31"/>
  <c r="B111" i="31"/>
  <c r="O82" i="3"/>
  <c r="O78" i="3"/>
  <c r="C100" i="31"/>
  <c r="C104" i="31"/>
  <c r="O76" i="3"/>
  <c r="C110" i="31"/>
  <c r="B110" i="31"/>
  <c r="BU58" i="3"/>
  <c r="BU61" i="3"/>
  <c r="BU59"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Q103" i="3" l="1"/>
  <c r="Q100" i="3"/>
  <c r="CB59" i="3"/>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BCD58" i="3" a="1"/>
  <c r="BCD58" i="3" l="1"/>
  <c r="BCD55" i="3" s="1"/>
  <c r="KT55" i="3"/>
  <c r="KV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I86" i="3"/>
  <c r="AI85" i="3"/>
  <c r="AH86" i="3"/>
  <c r="AI87" i="3"/>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7" i="3" l="1"/>
  <c r="AJ86" i="3"/>
  <c r="AJ85" i="3"/>
  <c r="AJ84" i="3"/>
  <c r="AH92" i="3" s="1"/>
  <c r="AH90" i="3" l="1"/>
  <c r="AH91" i="3"/>
  <c r="AH89" i="3"/>
  <c r="AG94" i="3" l="1"/>
  <c r="AW90" i="3" s="1"/>
  <c r="AW77" i="3" l="1"/>
  <c r="AW86" i="3"/>
  <c r="AW89" i="3"/>
  <c r="AW81" i="3"/>
  <c r="AW85" i="3"/>
  <c r="AW84" i="3"/>
  <c r="AW80" i="3"/>
  <c r="AW88" i="3"/>
  <c r="AW82" i="3"/>
  <c r="AW83" i="3"/>
  <c r="AW91" i="3"/>
  <c r="AW78" i="3"/>
  <c r="N83" i="3" s="1"/>
  <c r="AW79" i="3"/>
  <c r="AW87" i="3"/>
  <c r="N79" i="3" l="1"/>
  <c r="N78" i="3" a="1"/>
  <c r="N78" i="3" s="1"/>
  <c r="N81" i="3"/>
  <c r="C83" i="31" s="1"/>
  <c r="C81" i="31"/>
  <c r="B91" i="31"/>
  <c r="C91" i="31"/>
  <c r="C80" i="31"/>
  <c r="C90" i="31"/>
  <c r="B90" i="31"/>
  <c r="C85" i="31"/>
  <c r="B95" i="31"/>
  <c r="C95" i="31"/>
  <c r="C93" i="31" l="1"/>
  <c r="B93"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<sst xmlns="http://schemas.openxmlformats.org/spreadsheetml/2006/main" count="10684" uniqueCount="879">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</sst>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cellStyles>
  <dxfs count="120">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scheme val="minor"/>
      </font>
    </dxf>
    <dxf>
      <border outline="0">
        <bottom style="thin">
          <color auto="1"/>
        </bottom>
      </border>
    </dxf>
    <dxf>
      <font>
        <strike val="0"/>
        <outline val="0"/>
        <shadow val="0"/>
        <u val="none"/>
        <vertAlign val="baseline"/>
        <sz val="11"/>
        <color theme="0"/>
        <name val="Calibri"/>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 Type="http://schemas.openxmlformats.org/officeDocument/2006/relationships/image" Target="../media/image20.png"/><Relationship Id="rId16" Type="http://schemas.openxmlformats.org/officeDocument/2006/relationships/image" Target="../media/image19.png"/><Relationship Id="rId20" Type="http://schemas.openxmlformats.org/officeDocument/2006/relationships/image" Target="../media/image16.png"/><Relationship Id="rId29" Type="http://schemas.openxmlformats.org/officeDocument/2006/relationships/image" Target="../media/image33.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2" name="Tabla2" displayName="Tabla2" ref="AV2:AW14" totalsRowShown="0" headerRowDxfId="13" dataDxfId="11" headerRowBorderDxfId="12" tableBorderDxfId="10" totalsRowBorderDxfId="9">
  <tableColumns count="2">
    <tableColumn id="1" name="TOPIC" dataDxfId="8"/>
    <tableColumn id="2" name="VALUE" dataDxfId="7"/>
  </tableColumns>
  <tableStyleInfo name="TableStyleLight8" showFirstColumn="0" showLastColumn="0" showRowStripes="1" showColumnStripes="0"/>
</table>
</file>

<file path=xl/tables/table2.xml><?xml version="1.0" encoding="utf-8"?>
<table xmlns="http://schemas.openxmlformats.org/spreadsheetml/2006/main" id="3" name="Tabla3" displayName="Tabla3" ref="A1:D25" totalsRowShown="0" headerRowDxfId="5" dataDxfId="4">
  <sortState ref="A2:D13">
    <sortCondition ref="D2:D13"/>
  </sortState>
  <tableColumns count="4">
    <tableColumn id="1" name="OK" dataDxfId="3">
      <calculatedColumnFormula>NOT(ISERROR(VLOOKUP(Equipos!$B2,#REF!,1,FALSE)))</calculatedColumnFormula>
    </tableColumn>
    <tableColumn id="2" name="NombreEquipo" dataDxfId="2">
      <calculatedColumnFormula>VLOOKUP(Tabla3[[#This Row],[OK]],$G$2:$H$25,2,0)</calculatedColumnFormula>
    </tableColumn>
    <tableColumn id="4" name="Grupo" dataDxfId="1"/>
    <tableColumn id="3"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204</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UTK213"/>
  <sheetViews>
    <sheetView showRowColHeaders="0" tabSelected="1" topLeftCell="D55" zoomScaleNormal="100" workbookViewId="0">
      <selection activeCell="M82" sqref="M82"/>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124</v>
      </c>
      <c r="F1" s="87"/>
      <c r="G1" s="565" t="s">
        <v>87</v>
      </c>
      <c r="H1" s="565"/>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78</v>
      </c>
      <c r="B4" s="413" t="s">
        <v>0</v>
      </c>
      <c r="C4" s="414">
        <f>COUNTIF(Equipos!$C$2:$C$25,EUROCOPA!B4)</f>
        <v>4</v>
      </c>
      <c r="D4" s="255"/>
      <c r="E4" s="522" t="s">
        <v>0</v>
      </c>
      <c r="F4" s="42">
        <f>Horarios!A4</f>
        <v>44358.875</v>
      </c>
      <c r="G4" s="43">
        <f>Horarios!A4+VLOOKUP($G$2,Horarios!$K$4:$O$27,4,0)*VLOOKUP($G$2,Horarios!$K$4:$O$27,5,0)</f>
        <v>44358.875</v>
      </c>
      <c r="H4" s="42" t="s">
        <v>73</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17" t="s">
        <v>28</v>
      </c>
      <c r="BI4" s="517"/>
      <c r="BJ4" s="517"/>
      <c r="BK4" s="517"/>
      <c r="BL4" s="517"/>
      <c r="BM4" s="517"/>
      <c r="BN4" s="516" t="s">
        <v>169</v>
      </c>
      <c r="BO4" s="516"/>
      <c r="BP4" s="516"/>
      <c r="BQ4" s="516"/>
      <c r="BR4" s="516"/>
      <c r="BS4" s="51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23"/>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25">
      <c r="A6" s="412" t="str">
        <f t="array" aca="1" ref="A6" ca="1">IF(ROWS(A$5:A6)&lt;=$C$4,INDEX(INDIRECT(A$4),SMALL(IF(Nivell=$B$4,ROW(Nivell)-ROW(Equipos!$C$2)+1),ROWS(B$4:B5))),"")</f>
        <v>Italia</v>
      </c>
      <c r="B6" s="413"/>
      <c r="C6" s="415"/>
      <c r="D6" s="255"/>
      <c r="E6" s="523"/>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6"/>
      <c r="AF6" s="488">
        <f ca="1">VLOOKUP($R6,$AI$6:$AR$9,10,FALSE)</f>
        <v>1250656273799.98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8</v>
      </c>
      <c r="AQ6" s="487">
        <f ca="1">AO6-AP6</f>
        <v>-7</v>
      </c>
      <c r="AR6" s="487">
        <f ca="1">IF(AK6=0,-($AW$14*VLOOKUP(AI6,Tabla3[[NombreEquipo]:[Rank]],3,FALSE)),AJ6*$AW$4+BA6+AQ6*$AW$11+AO6*$AW$12+AL6*$AW$13-($AW$14*VLOOKUP(AI6,Tabla3[[NombreEquipo]:[Rank]],3,FALSE)/100))</f>
        <v>781130499.99000001</v>
      </c>
      <c r="AS6" s="487">
        <f ca="1">AH6</f>
        <v>4</v>
      </c>
      <c r="AT6" s="487"/>
      <c r="AU6" s="487">
        <f ca="1">IFERROR(AR6-VLOOKUP(AI6,$AB$6:$AC$9,2,0),AR6)</f>
        <v>781130499.99000001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-3</v>
      </c>
      <c r="BL6" s="515">
        <f ca="1">BF6-BD8</f>
        <v>-2</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781130499.99000001</v>
      </c>
      <c r="BX6" s="212" t="str">
        <f ca="1">VLOOKUP(Q6,$AH$6:$AI$9,2,0)</f>
        <v>Italia</v>
      </c>
      <c r="BY6" s="212">
        <f ca="1">VLOOKUP($BX6,$AI$6:$AR$9,10,FALSE)</f>
        <v>1250656273799.98</v>
      </c>
      <c r="CA6" s="212">
        <v>1</v>
      </c>
      <c r="CB6" s="212" t="str">
        <f ca="1">VLOOKUP(CA6,$AH$6:$AI$9,2,0)</f>
        <v>Italia</v>
      </c>
      <c r="CC6" s="212">
        <f ca="1">VLOOKUP(CB6,$AI$6:$AR$9,2,FALSE)</f>
        <v>9</v>
      </c>
      <c r="CD6" s="497">
        <f ca="1">IF(SUM($AK$6:$AK$9)=12,MIN(ABS(BY5-BY6),ABS(BY6-BY7)),100)</f>
        <v>693064662200.01001</v>
      </c>
      <c r="CE6" s="212">
        <f ca="1">VLOOKUP($CB6,$AI$6:$AR$9,9,FALSE)</f>
        <v>7</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23"/>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7"/>
      <c r="AF7" s="488">
        <f ca="1">VLOOKUP($R7,$AI$6:$AR$9,10,FALSE)</f>
        <v>557591611599.96997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0</v>
      </c>
      <c r="AQ7" s="487">
        <f ca="1">AO7-AP7</f>
        <v>7</v>
      </c>
      <c r="AR7" s="498">
        <f ca="1">IF(AK7=0,-($AW$14*VLOOKUP(AI7,Tabla3[[NombreEquipo]:[Rank]],3,FALSE)),AJ7*$AW$4+BA7+AQ7*$AW$11+AO7*$AW$12+AL7*$AW$13-($AW$14*VLOOKUP(AI7,Tabla3[[NombreEquipo]:[Rank]],3,FALSE)/100))</f>
        <v>1250656273799.98</v>
      </c>
      <c r="AS7" s="487">
        <f ca="1">AH7</f>
        <v>1</v>
      </c>
      <c r="AT7" s="487"/>
      <c r="AU7" s="487">
        <f ca="1">IFERROR(AR7-VLOOKUP(AI7,$AB$6:$AC$9,2,0),AR7)</f>
        <v>1250656273799.98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3</v>
      </c>
      <c r="BE7" s="515">
        <v>0</v>
      </c>
      <c r="BF7" s="515">
        <f t="array" aca="1" ref="BF7" ca="1">SUMIFS($K$4:$K$9,$I$4:$I$9,$AY7,$K$4:$K$9,"&lt;&gt;",$L$4:$L$9,"&lt;&gt;",$N$4:$N$9,BF5)+SUMIFS($L$4:$L$9,$I$4:$I$9,BF5,$K$4:$K$9,"&lt;&gt;",$L$4:$L$9,"&lt;&gt;",$N$4:$N$9,$AY7)</f>
        <v>1</v>
      </c>
      <c r="BG7" s="515">
        <f t="array" aca="1" ref="BG7" ca="1">SUMIFS($K$4:$K$9,$I$4:$I$9,$AY7,$K$4:$K$9,"&lt;&gt;",$L$4:$L$9,"&lt;&gt;",$N$4:$N$9,BG5)+SUMIFS($L$4:$L$9,$I$4:$I$9,BG5,$K$4:$K$9,"&lt;&gt;",$L$4:$L$9,"&lt;&gt;",$N$4:$N$9,$AY7)</f>
        <v>3</v>
      </c>
      <c r="BH7" s="515">
        <f ca="1">RANK(BI7,BI6:BI9,1)</f>
        <v>1</v>
      </c>
      <c r="BI7" s="515">
        <f ca="1">SUM(IF(AND(AJ7=AJ8),BL7,0),IF(AND(AJ7=AJ9),BM7,0),IF(AND(AJ7=AJ6),BJ7,0))</f>
        <v>0</v>
      </c>
      <c r="BJ7" s="515">
        <f ca="1">BD7-BE6</f>
        <v>3</v>
      </c>
      <c r="BK7" s="515">
        <v>0</v>
      </c>
      <c r="BL7" s="515">
        <f ca="1">BF7-BE8</f>
        <v>1</v>
      </c>
      <c r="BM7" s="515">
        <f ca="1">BG7-BE9</f>
        <v>3</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1250656273799.98</v>
      </c>
      <c r="BX7" s="212" t="str">
        <f ca="1">VLOOKUP(Q7,$AH$6:$AI$9,2,0)</f>
        <v>Gales</v>
      </c>
      <c r="BY7" s="212">
        <f ca="1">VLOOKUP($BX7,$AI$6:$AR$9,10,FALSE)</f>
        <v>557591611599.96997</v>
      </c>
      <c r="CA7" s="212">
        <v>2</v>
      </c>
      <c r="CB7" s="212" t="str">
        <f ca="1">VLOOKUP(CA7,$AH$6:$AI$9,2,0)</f>
        <v>Gales</v>
      </c>
      <c r="CC7" s="212">
        <f ca="1">VLOOKUP(CB7,$AI$6:$AR$9,2,FALSE)</f>
        <v>4</v>
      </c>
      <c r="CD7" s="497">
        <f ca="1">IF(SUM($AK$6:$AK$9)=12,MIN(ABS(BY6-BY7),ABS(BY7-BY8)),100)</f>
        <v>19500.010009765625</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23"/>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7"/>
      <c r="AF8" s="488">
        <f ca="1">VLOOKUP($R8,$AI$6:$AR$9,10,FALSE)</f>
        <v>557591592099.95996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2</v>
      </c>
      <c r="AQ8" s="487">
        <f ca="1">AO8-AP8</f>
        <v>1</v>
      </c>
      <c r="AR8" s="487">
        <f ca="1">IF(AK8=0,-($AW$14*VLOOKUP(AI8,Tabla3[[NombreEquipo]:[Rank]],3,FALSE)),AJ8*$AW$4+BA8+AQ8*$AW$11+AO8*$AW$12+AL8*$AW$13-($AW$14*VLOOKUP(AI8,Tabla3[[NombreEquipo]:[Rank]],3,FALSE)/100))</f>
        <v>557591611599.96997</v>
      </c>
      <c r="AS8" s="487">
        <f ca="1">AH8</f>
        <v>2</v>
      </c>
      <c r="AT8" s="487"/>
      <c r="AU8" s="487">
        <f ca="1">IFERROR(AR8-VLOOKUP(AI8,$AB$6:$AC$9,2,0),AR8)</f>
        <v>557591611599.96997</v>
      </c>
      <c r="AV8" s="489" t="s">
        <v>875</v>
      </c>
      <c r="AW8" s="490">
        <f>AW9*5</f>
        <v>5000000</v>
      </c>
      <c r="AX8" s="487"/>
      <c r="AY8" s="496" t="str">
        <f ca="1">AI8</f>
        <v>Gales</v>
      </c>
      <c r="AZ8" s="487">
        <f ca="1">COUNTIF(AJ6:AJ9,AJ8)</f>
        <v>2</v>
      </c>
      <c r="BA8" s="489">
        <f t="shared" ca="1" si="2"/>
        <v>2091600000</v>
      </c>
      <c r="BB8" s="515">
        <f ca="1">RANK(BC8,BC6:BC9,1)</f>
        <v>3</v>
      </c>
      <c r="BC8" s="515">
        <f ca="1">SUM(IF(AND(AJ8=AJ9),BG8,0),IF(AND(AJ8=AJ6),BD8,0),IF(AND(AJ8=AJ7),BE8,0))</f>
        <v>1</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557591611599.96997</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19500.010009765625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1</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75" thickBot="1" x14ac:dyDescent="0.3">
      <c r="A9" s="210"/>
      <c r="B9" s="413"/>
      <c r="C9" s="210"/>
      <c r="D9" s="255"/>
      <c r="E9" s="524"/>
      <c r="F9" s="50">
        <f>Horarios!A9</f>
        <v>44367.75</v>
      </c>
      <c r="G9" s="51">
        <f>Horarios!A9+VLOOKUP($G$2,Horarios!$K$4:$O$27,4,0)*VLOOKUP($G$2,Horarios!$K$4:$O$27,5,0)</f>
        <v>44367.75</v>
      </c>
      <c r="H9" s="50" t="s">
        <v>75</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6"/>
      <c r="AF9" s="488">
        <f ca="1">VLOOKUP($R9,$AI$6:$AR$9,10,FALSE)</f>
        <v>781130499.99000001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3</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-3</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Turquia</v>
      </c>
      <c r="BY9" s="212">
        <f ca="1">VLOOKUP($BX9,$AI$6:$AR$9,10,FALSE)</f>
        <v>781130499.99000001</v>
      </c>
      <c r="CA9" s="212">
        <v>4</v>
      </c>
      <c r="CB9" s="212" t="str">
        <f ca="1">VLOOKUP(CA9,$AH$6:$AI$9,2,0)</f>
        <v>Turquia</v>
      </c>
      <c r="CC9" s="212">
        <f ca="1">VLOOKUP(CB9,$AI$6:$AR$9,2,FALSE)</f>
        <v>0</v>
      </c>
      <c r="CD9" s="497">
        <f ca="1">IF(SUM($AK$6:$AK$9)=12,MIN(ABS(BY8-BY9),ABS(BY9-BY10)),100)</f>
        <v>781130499.99000001</v>
      </c>
      <c r="CE9" s="212">
        <f ca="1">VLOOKUP($CB9,$AI$6:$AR$9,9,FALSE)</f>
        <v>-7</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78</v>
      </c>
      <c r="B12" s="413" t="s">
        <v>1</v>
      </c>
      <c r="C12" s="414">
        <f>COUNTIF(Equipos!$C$2:$C$25,EUROCOPA!B12)</f>
        <v>4</v>
      </c>
      <c r="D12" s="255"/>
      <c r="E12" s="525" t="s">
        <v>1</v>
      </c>
      <c r="F12" s="57">
        <f>Horarios!A12</f>
        <v>44359.75</v>
      </c>
      <c r="G12" s="58">
        <f>Horarios!A12+VLOOKUP($G$2,Horarios!$K$4:$O$27,4,0)*VLOOKUP($G$2,Horarios!$K$4:$O$27,5,0)</f>
        <v>44359.75</v>
      </c>
      <c r="H12" s="57" t="s">
        <v>73</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17" t="s">
        <v>28</v>
      </c>
      <c r="BI12" s="517"/>
      <c r="BJ12" s="517"/>
      <c r="BK12" s="517"/>
      <c r="BL12" s="517"/>
      <c r="BM12" s="51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0</v>
      </c>
      <c r="CP12" s="487">
        <f t="shared" ca="1" si="4"/>
        <v>0</v>
      </c>
      <c r="CQ12" s="487">
        <f t="shared" ca="1" si="4"/>
        <v>1</v>
      </c>
      <c r="CR12" s="487">
        <f t="shared" ca="1" si="4"/>
        <v>1</v>
      </c>
      <c r="CS12" s="487">
        <f t="shared" ca="1" si="4"/>
        <v>1</v>
      </c>
      <c r="CT12" s="487">
        <f t="shared" ca="1" si="4"/>
        <v>0</v>
      </c>
      <c r="CU12" s="487">
        <f t="shared" ca="1" si="4"/>
        <v>0</v>
      </c>
      <c r="CV12" s="487">
        <f t="shared" ca="1" si="4"/>
        <v>0</v>
      </c>
      <c r="CW12" s="487">
        <f t="shared" ca="1" si="4"/>
        <v>1</v>
      </c>
      <c r="CX12" s="487">
        <f t="shared" ca="1" si="4"/>
        <v>1</v>
      </c>
      <c r="CY12" s="487">
        <f t="shared" ca="1" si="4"/>
        <v>0</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26"/>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26"/>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6"/>
      <c r="AF14" s="488">
        <f ca="1">VLOOKUP($R14,$AI$14:$AR$17,10,FALSE)</f>
        <v>1250781263799.9299</v>
      </c>
      <c r="AG14" s="487">
        <f ca="1">RANK(AU14,$AU$14:$AU$17)</f>
        <v>2</v>
      </c>
      <c r="AH14" s="487">
        <f ca="1">RANK(AR14,$AR$14:$AR$17)</f>
        <v>2</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418481212599.95001</v>
      </c>
      <c r="AS14" s="487">
        <f ca="1">AH14</f>
        <v>2</v>
      </c>
      <c r="AT14" s="487"/>
      <c r="AU14" s="487">
        <f ca="1">IFERROR(AR14-VLOOKUP(AI14,$AB$14:$AC$17,2,0),AR14)</f>
        <v>418481212599.95001</v>
      </c>
      <c r="AV14" s="489" t="s">
        <v>38</v>
      </c>
      <c r="AW14" s="490">
        <v>1</v>
      </c>
      <c r="AX14" s="487"/>
      <c r="AY14" s="496" t="str">
        <f ca="1">AI14</f>
        <v>Dinamarca</v>
      </c>
      <c r="AZ14" s="487">
        <f ca="1">COUNTIF(AJ14:AJ17,AJ14)</f>
        <v>3</v>
      </c>
      <c r="BA14" s="489">
        <f t="shared" ref="BA14:BA25" ca="1" si="6">(BB14*$AW$7)+(BH14*$AW$6)+(BN14*$AW$5)+(FI14*$AW$10)+(FK14*$AW$9)+(FM14*$AW$8)</f>
        <v>1856200000</v>
      </c>
      <c r="BB14" s="515">
        <f ca="1">RANK(BC14,BC14:BC17,1)</f>
        <v>4</v>
      </c>
      <c r="BC14" s="515">
        <f ca="1">SUM(IF(AND(AJ14=AJ15),BE14,0),IF(AND(AJ14=AJ16),BF14,0),IF(AND(AJ14=AJ17),BG14,0))</f>
        <v>4</v>
      </c>
      <c r="BD14" s="515">
        <v>0</v>
      </c>
      <c r="BE14" s="515">
        <f t="array" aca="1" ref="BE14" ca="1">SUMIFS($K$12:$K$17,$I$12:$I$17,$AY14,$K$12:$K$17,"&lt;&gt;",$L$12:$L$17,"&lt;&gt;",$N$12:$N$17,BE13)+SUMIFS($L$12:$L$17,$I$12:$I$17,BE13,$K$12:$K$17,"&lt;&gt;",$L$12:$L$17,"&lt;&gt;",$N$12:$N$17,$AY14)</f>
        <v>0</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4</v>
      </c>
      <c r="BH14" s="515">
        <f ca="1">RANK(BI14,BI14:BI17,1)</f>
        <v>4</v>
      </c>
      <c r="BI14" s="515">
        <f ca="1">SUM(IF(AND(AJ14=AJ15),BK14,0),IF(AND(AJ14=AJ16),BL14,0),IF(AND(AJ14=AJ17),BM14,0))</f>
        <v>2</v>
      </c>
      <c r="BJ14" s="515">
        <v>0</v>
      </c>
      <c r="BK14" s="515">
        <f ca="1">BE14-BD15</f>
        <v>-1</v>
      </c>
      <c r="BL14" s="515">
        <f ca="1">BF14-BD16</f>
        <v>-1</v>
      </c>
      <c r="BM14" s="515">
        <f ca="1">BG14-BD17</f>
        <v>3</v>
      </c>
      <c r="BN14" s="514">
        <f ca="1">RANK(BO14,BO14:BO17,1)</f>
        <v>2</v>
      </c>
      <c r="BO14" s="514">
        <f ca="1">SUM(IF(AND(AJ14=AJ15),BQ14,0),IF(AND(AJ14=AJ16),BR14,0),IF(AND(AJ14=AJ17),BS14,0))</f>
        <v>3</v>
      </c>
      <c r="BP14" s="514">
        <v>0</v>
      </c>
      <c r="BQ14" s="514">
        <f t="array" aca="1" ref="BQ14" ca="1">SUM((I$4:I$49=AY14)*(N$4:N$49=BQ13)*(K$4:K$49&lt;&gt;"")*(L$4:L$49&lt;&gt;"")*(K$4:K$49&gt;L$4:L$49)*3,(N$4:N$49=AY14)*(I$4:I$49=BQ13)*(K$4:K$49&lt;&gt;"")*(L$4:L$49&lt;&gt;"")*(K$4:K$49=L$4:L$49)*1,(N$4:N$49=AY14)*(I$4:I$49=BQ13)*(K$4:K$49&lt;&gt;"")*(L$4:L$49&lt;&gt;"")*(K$4:K$49&lt;L$4:L$49)*3,(I$4:I$49=AY14)*(N$4:N$49=BQ13)*(K$4:K$49&lt;&gt;"")*(L$4:L$49&lt;&gt;"")*(K$4:K$49=L$4:L$49)*1)</f>
        <v>0</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418481212599.95001</v>
      </c>
      <c r="BX14" s="212" t="str">
        <f ca="1">VLOOKUP(Q14,$AH$14:$AI$17,2,0)</f>
        <v>Bélgica</v>
      </c>
      <c r="BY14" s="212">
        <f ca="1">VLOOKUP($BX14,$AI$14:$AR$17,10,FALSE)</f>
        <v>1250781263799.9299</v>
      </c>
      <c r="CA14" s="212">
        <v>1</v>
      </c>
      <c r="CB14" s="212" t="str">
        <f ca="1">VLOOKUP(CA14,$AH$14:$AI$17,2,0)</f>
        <v>Bélgica</v>
      </c>
      <c r="CC14" s="212">
        <f ca="1">VLOOKUP(CB14,$AI$14:$AR$17,2,FALSE)</f>
        <v>9</v>
      </c>
      <c r="CD14" s="497">
        <f ca="1">IF(SUM($AK$14:$AK$17)=12,MIN(ABS(BY13-BY14),ABS(BY14-BY15)),100)</f>
        <v>832300051199.97998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26"/>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7"/>
      <c r="AF15" s="488">
        <f ca="1">VLOOKUP($R15,$AI$14:$AR$17,10,FALSE)</f>
        <v>418481212599.95001</v>
      </c>
      <c r="AG15" s="487">
        <f ca="1">RANK(AU15,$AU$14:$AU$17)</f>
        <v>3</v>
      </c>
      <c r="AH15" s="487">
        <f ca="1">RANK(AR15,$AR$14:$AR$17)</f>
        <v>3</v>
      </c>
      <c r="AI15" s="212" t="str">
        <f ca="1">A14</f>
        <v>Finlandia</v>
      </c>
      <c r="AJ15" s="487">
        <f ca="1">AL15*3+AM15*1+AN15*0</f>
        <v>3</v>
      </c>
      <c r="AK15" s="487">
        <f ca="1">COUNTIFS($I$4:$I$49,AI15,$K$4:$K$49,"&lt;&gt;",$L$4:$L$49,"&lt;&gt;")+COUNTIFS($N$4:$N$49,AI15,$L$4:$L$49,"&lt;&gt;",$K$4:$K$49,"&lt;&gt;")</f>
        <v>3</v>
      </c>
      <c r="AL15" s="487">
        <f t="array" aca="1" ref="AL15" ca="1">SUM(($I$4:$I$49=AI15)*($K$4:$K$49&lt;&gt;"")*($L$4:$L$49&lt;&gt;"")*($K$4:$K$49&gt;$L$4:$L$49),($N$4:$N$49=AI15)*($K$4:$K$49&lt;&gt;"")*($L$4:$L$49&lt;&gt;"")*($K$4:$K$49&lt;$L$4:$L$49))</f>
        <v>1</v>
      </c>
      <c r="AM15" s="487">
        <f t="array" aca="1" ref="AM15" ca="1">SUM(($I$4:$I$49=AI15)*($K$4:$K$49&lt;&gt;"")*($L$4:$L$49&lt;&gt;"")*($K$4:$K$49=$L$4:$L$49),($N$4:$N$49=AI15)*($K$4:$K$49&lt;&gt;"")*($L$4:$L$49&lt;&gt;"")*($K$4:$K$49=$L$4:$L$49))</f>
        <v>0</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3</v>
      </c>
      <c r="AQ15" s="487">
        <f ca="1">AO15-AP15</f>
        <v>-2</v>
      </c>
      <c r="AR15" s="487">
        <f ca="1">IF(AK15=0,-($AW$14*VLOOKUP(AI15,Tabla3[[NombreEquipo]:[Rank]],3,FALSE)),AJ15*$AW$4+BA15+AQ15*$AW$11+AO15*$AW$12+AL15*$AW$13-($AW$14*VLOOKUP(AI15,Tabla3[[NombreEquipo]:[Rank]],3,FALSE)/100))</f>
        <v>418181180599.94</v>
      </c>
      <c r="AS15" s="487">
        <f ca="1">AH15</f>
        <v>3</v>
      </c>
      <c r="AT15" s="487"/>
      <c r="AU15" s="487">
        <f ca="1">IFERROR(AR15-VLOOKUP(AI15,$AB$14:$AC$17,2,0),AR15)</f>
        <v>418181180599.94</v>
      </c>
      <c r="AV15" s="487"/>
      <c r="AW15" s="499"/>
      <c r="AX15" s="487"/>
      <c r="AY15" s="496" t="str">
        <f ca="1">AI15</f>
        <v>Finlandia</v>
      </c>
      <c r="AZ15" s="487">
        <f ca="1">COUNTIF(AJ14:AJ17,AJ15)</f>
        <v>3</v>
      </c>
      <c r="BA15" s="489">
        <f t="shared" ca="1" si="6"/>
        <v>1556200000</v>
      </c>
      <c r="BB15" s="515">
        <f ca="1">RANK(BC15,BC14:BC17,1)</f>
        <v>2</v>
      </c>
      <c r="BC15" s="515">
        <f ca="1">SUM(IF(AND(AJ15=AJ16),BF15,0),IF(AND(AJ15=AJ17),BG15,0),IF(AND(AJ15=AJ14),BD15,0))</f>
        <v>1</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2</v>
      </c>
      <c r="BI15" s="515">
        <f ca="1">SUM(IF(AND(AJ15=AJ16),BL15,0),IF(AND(AJ15=AJ17),BM15,0),IF(AND(AJ15=AJ14),BJ15,0))</f>
        <v>0</v>
      </c>
      <c r="BJ15" s="515">
        <f ca="1">BD15-BE14</f>
        <v>1</v>
      </c>
      <c r="BK15" s="515">
        <v>0</v>
      </c>
      <c r="BL15" s="515">
        <f ca="1">BF15-BE16</f>
        <v>-2</v>
      </c>
      <c r="BM15" s="515">
        <f ca="1">BG15-BE17</f>
        <v>-1</v>
      </c>
      <c r="BN15" s="514">
        <f ca="1">RANK(BO15,BO14:BO17,1)</f>
        <v>2</v>
      </c>
      <c r="BO15" s="514">
        <f ca="1">SUM(IF(AND(AJ15=AJ16),BR15,0),IF(AND(AJ15=AJ17),BS15,0),IF(AND(AJ15=AJ14),BP15,0))</f>
        <v>3</v>
      </c>
      <c r="BP15" s="514">
        <f t="array" aca="1" ref="BP15" ca="1">SUM((I$4:I$49=AY15)*(N$4:N$49=BP13)*(K$4:K$49&lt;&gt;"")*(L$4:L$49&lt;&gt;"")*(K$4:K$49&gt;L$4:L$49)*3,(N$4:N$49=AY15)*(I$4:I$49=BP13)*(K$4:K$49&lt;&gt;"")*(L$4:L$49&lt;&gt;"")*(K$4:K$49=L$4:L$49)*1,(N$4:N$49=AY15)*(I$4:I$49=BP13)*(K$4:K$49&lt;&gt;"")*(L$4:L$49&lt;&gt;"")*(K$4:K$49&lt;L$4:L$49)*3,(I$4:I$49=AY15)*(N$4:N$49=BP13)*(K$4:K$49&lt;&gt;"")*(L$4:L$49&lt;&gt;"")*(K$4:K$49=L$4:L$49)*1)</f>
        <v>3</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3</v>
      </c>
      <c r="BV15" s="212" t="str">
        <f ca="1">A14</f>
        <v>Finlandia</v>
      </c>
      <c r="BW15" s="212">
        <f ca="1">IF(AK15=0,-($AW$14*VLOOKUP(AI15,Tabla3[[NombreEquipo]:[Rank]],3,FALSE)),AJ15*$AW$4+BA15+AQ15*$AW$11+AO15*$AW$12+AL15*$AW$13-($AW$14*VLOOKUP(AI15,Tabla3[[NombreEquipo]:[Rank]],3,FALSE)/100))</f>
        <v>418181180599.94</v>
      </c>
      <c r="BX15" s="212" t="str">
        <f ca="1">VLOOKUP(Q15,$AH$14:$AI$17,2,0)</f>
        <v>Dinamarca</v>
      </c>
      <c r="BY15" s="212">
        <f ca="1">VLOOKUP($BX15,$AI$14:$AR$17,10,FALSE)</f>
        <v>418481212599.95001</v>
      </c>
      <c r="CA15" s="212">
        <v>2</v>
      </c>
      <c r="CB15" s="212" t="str">
        <f ca="1">VLOOKUP(CA15,$AH$14:$AI$17,2,0)</f>
        <v>Dinamarca</v>
      </c>
      <c r="CC15" s="212">
        <f ca="1">VLOOKUP(CB15,$AI$14:$AR$17,2,FALSE)</f>
        <v>3</v>
      </c>
      <c r="CD15" s="497">
        <f ca="1">IF(SUM($AK$14:$AK$17)=12,MIN(ABS(BY14-BY15),ABS(BY15-BY16)),100)</f>
        <v>300032000.01000977</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26"/>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7"/>
      <c r="AF16" s="488">
        <f ca="1">VLOOKUP($R16,$AI$14:$AR$17,10,FALSE)</f>
        <v>418181180599.94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1250781263799.9299</v>
      </c>
      <c r="AS16" s="487">
        <f ca="1">AH16</f>
        <v>1</v>
      </c>
      <c r="AT16" s="487"/>
      <c r="AU16" s="487">
        <f ca="1">IFERROR(AR16-VLOOKUP(AI16,$AB$14:$AC$17,2,0),AR16)</f>
        <v>1250781263799.9299</v>
      </c>
      <c r="AV16" s="487"/>
      <c r="AW16" s="499"/>
      <c r="AX16" s="487"/>
      <c r="AY16" s="496" t="str">
        <f ca="1">AI16</f>
        <v>Bélgica</v>
      </c>
      <c r="AZ16" s="487">
        <f ca="1">COUNTIF(AJ14:AJ17,AJ16)</f>
        <v>1</v>
      </c>
      <c r="BA16" s="489">
        <f t="shared" ca="1" si="6"/>
        <v>906200000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2</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1250781263799.9299</v>
      </c>
      <c r="BX16" s="212" t="str">
        <f ca="1">VLOOKUP(Q16,$AH$14:$AI$17,2,0)</f>
        <v>Finlandia</v>
      </c>
      <c r="BY16" s="212">
        <f ca="1">VLOOKUP($BX16,$AI$14:$AR$17,10,FALSE)</f>
        <v>418181180599.94</v>
      </c>
      <c r="CA16" s="212">
        <v>3</v>
      </c>
      <c r="CB16" s="212" t="str">
        <f ca="1">VLOOKUP(CA16,$AH$14:$AI$17,2,0)</f>
        <v>Finlandia</v>
      </c>
      <c r="CC16" s="212">
        <f ca="1">VLOOKUP(CB16,$AI$14:$AR$17,2,FALSE)</f>
        <v>3</v>
      </c>
      <c r="CD16" s="497">
        <f ca="1">IF(SUM($AK$14:$AK$17)=12,MIN(ABS(BY15-BY16),ABS(BY16-BY17)),100)</f>
        <v>100029500.02001953</v>
      </c>
      <c r="CE16" s="212">
        <f ca="1">VLOOKUP($CB16,$AI$14:$AR$17,9,FALSE)</f>
        <v>-2</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27"/>
      <c r="F17" s="65">
        <f>Horarios!A17</f>
        <v>44368.875</v>
      </c>
      <c r="G17" s="66">
        <f>Horarios!A17+VLOOKUP($G$2,Horarios!$K$4:$O$27,4,0)*VLOOKUP($G$2,Horarios!$K$4:$O$27,5,0)</f>
        <v>44368.875</v>
      </c>
      <c r="H17" s="65" t="s">
        <v>75</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6"/>
      <c r="AF17" s="488">
        <f ca="1">VLOOKUP($R17,$AI$14:$AR$17,10,FALSE)</f>
        <v>418081151099.91998</v>
      </c>
      <c r="AG17" s="487">
        <f ca="1">RANK(AU17,$AU$14:$AU$17)</f>
        <v>4</v>
      </c>
      <c r="AH17" s="487">
        <f ca="1">RANK(AR17,$AR$14:$AR$17)</f>
        <v>4</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2</v>
      </c>
      <c r="AP17" s="487">
        <f t="array" aca="1" ref="AP17" ca="1">SUMIFS($K$4:$K$49,$N$4:$N$49,AI17,$K$4:$K$49,"&lt;&gt;",$L$4:$L$49,"&lt;&gt;")+SUMIFS($L$4:$L$49,$I$4:$I$49,AI17,$K$4:$K$49,"&lt;&gt;",$L$4:$L$49,"&lt;&gt;")</f>
        <v>7</v>
      </c>
      <c r="AQ17" s="487">
        <f ca="1">AO17-AP17</f>
        <v>-5</v>
      </c>
      <c r="AR17" s="487">
        <f ca="1">IF(AK17=0,-($AW$14*VLOOKUP(AI17,Tabla3[[NombreEquipo]:[Rank]],3,FALSE)),AJ17*$AW$4+BA17+AQ17*$AW$11+AO17*$AW$12+AL17*$AW$13-($AW$14*VLOOKUP(AI17,Tabla3[[NombreEquipo]:[Rank]],3,FALSE)/100))</f>
        <v>418081151099.91998</v>
      </c>
      <c r="AS17" s="487">
        <f ca="1">AH17</f>
        <v>4</v>
      </c>
      <c r="AT17" s="487"/>
      <c r="AU17" s="487">
        <f ca="1">IFERROR(AR17-VLOOKUP(AI17,$AB$14:$AC$17,2,0),AR17)</f>
        <v>418081151099.91998</v>
      </c>
      <c r="AV17" s="487"/>
      <c r="AW17" s="499"/>
      <c r="AX17" s="487"/>
      <c r="AY17" s="496" t="str">
        <f ca="1">AI17</f>
        <v>Rusia</v>
      </c>
      <c r="AZ17" s="487">
        <f ca="1">COUNTIF(AJ14:AJ17,AJ17)</f>
        <v>3</v>
      </c>
      <c r="BA17" s="489">
        <f t="shared" ca="1" si="6"/>
        <v>1456200000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-2</v>
      </c>
      <c r="BJ17" s="515">
        <f ca="1">BD17-BG14</f>
        <v>-3</v>
      </c>
      <c r="BK17" s="515">
        <f ca="1">BE17-BG15</f>
        <v>1</v>
      </c>
      <c r="BL17" s="515">
        <f ca="1">BF17-BG16</f>
        <v>-3</v>
      </c>
      <c r="BM17" s="515">
        <v>0</v>
      </c>
      <c r="BN17" s="514">
        <f ca="1">RANK(BO17,BO14:BO17,1)</f>
        <v>2</v>
      </c>
      <c r="BO17" s="514">
        <f ca="1">SUM(IF(AND(AJ17=AJ14),BP17,0),IF(AND(AJ17=AJ15),BQ17,0),IF(AND(AJ17=AJ16),BR17,0))</f>
        <v>3</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4</v>
      </c>
      <c r="BV17" s="212" t="str">
        <f ca="1">A16</f>
        <v>Rusia</v>
      </c>
      <c r="BW17" s="212">
        <f ca="1">IF(AK17=0,-($AW$14*VLOOKUP(AI17,Tabla3[[NombreEquipo]:[Rank]],3,FALSE)),AJ17*$AW$4+BA17+AQ17*$AW$11+AO17*$AW$12+AL17*$AW$13-($AW$14*VLOOKUP(AI17,Tabla3[[NombreEquipo]:[Rank]],3,FALSE)/100))</f>
        <v>418081151099.91998</v>
      </c>
      <c r="BX17" s="212" t="str">
        <f ca="1">VLOOKUP(Q17,$AH$14:$AI$17,2,0)</f>
        <v>Rusia</v>
      </c>
      <c r="BY17" s="212">
        <f ca="1">VLOOKUP($BX17,$AI$14:$AR$17,10,FALSE)</f>
        <v>418081151099.91998</v>
      </c>
      <c r="CA17" s="212">
        <v>4</v>
      </c>
      <c r="CB17" s="212" t="str">
        <f ca="1">VLOOKUP(CA17,$AH$14:$AI$17,2,0)</f>
        <v>Rusia</v>
      </c>
      <c r="CC17" s="212">
        <f ca="1">VLOOKUP(CB17,$AI$14:$AR$17,2,FALSE)</f>
        <v>3</v>
      </c>
      <c r="CD17" s="497">
        <f ca="1">IF(SUM($AK$14:$AK$17)=12,MIN(ABS(BY16-BY17),ABS(BY17-BY18)),100)</f>
        <v>100029500.02001953</v>
      </c>
      <c r="CE17" s="212">
        <f ca="1">VLOOKUP($CB17,$AI$14:$AR$17,9,FALSE)</f>
        <v>-5</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0</v>
      </c>
      <c r="CP17" s="487">
        <f t="array" aca="1" ref="CP17" ca="1">IF(AND($CC$15:$CC$17=$CC$15,$CD$15:$CD$17&lt;90,$CC$14&lt;&gt;$CC$17),1,0)</f>
        <v>0</v>
      </c>
      <c r="CQ17" s="487">
        <f t="array" aca="1" ref="CQ17" ca="1">IF(AND($CC$17&lt;&gt;$CC$15,$CC$17&lt;&gt;$CC$14),1,0)</f>
        <v>0</v>
      </c>
      <c r="CR17" s="487">
        <f t="array" aca="1" ref="CR17" ca="1">IF(AND($CC$16:$CC$17=$CC$16,$CD$16:$CD$17&lt;90,$CC$16&lt;&gt;$CC$15),1,0)</f>
        <v>0</v>
      </c>
      <c r="CS17" s="487">
        <f t="array" aca="1" ref="CS17" ca="1">IF(AND($CC$17&lt;&gt;$CC$15,$CC$17&lt;&gt;$CC$14),1,0)</f>
        <v>0</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0</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78</v>
      </c>
      <c r="B20" s="413" t="s">
        <v>2</v>
      </c>
      <c r="C20" s="414">
        <f>COUNTIF(Equipos!$C$2:$C$25,EUROCOPA!B20)</f>
        <v>4</v>
      </c>
      <c r="D20" s="255"/>
      <c r="E20" s="566" t="s">
        <v>2</v>
      </c>
      <c r="F20" s="72">
        <f>Horarios!A20</f>
        <v>44360.75</v>
      </c>
      <c r="G20" s="73">
        <f>Horarios!A20+VLOOKUP($G$2,Horarios!$K$4:$O$27,4,0)*VLOOKUP($G$2,Horarios!$K$4:$O$27,5,0)</f>
        <v>44360.75</v>
      </c>
      <c r="H20" s="72" t="s">
        <v>73</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17" t="s">
        <v>28</v>
      </c>
      <c r="BI20" s="517"/>
      <c r="BJ20" s="517"/>
      <c r="BK20" s="517"/>
      <c r="BL20" s="517"/>
      <c r="BM20" s="51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67"/>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67"/>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416625052100.0199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67"/>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7"/>
      <c r="AF23" s="488">
        <f ca="1">VLOOKUP($R23,$AI$22:$AR$25,10,FALSE)</f>
        <v>834031212199.89001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417406192099.90002</v>
      </c>
      <c r="AS23" s="487">
        <f ca="1">AH23</f>
        <v>3</v>
      </c>
      <c r="AT23" s="487"/>
      <c r="AU23" s="487">
        <f ca="1">IFERROR(AR23-VLOOKUP(AI23,$AB$22:$AC$25,2,0),AR23)</f>
        <v>417406192099.90002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0</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417406192099.90002</v>
      </c>
      <c r="BX23" s="212" t="str">
        <f ca="1">VLOOKUP(Q23,$AH$22:$AI$25,2,0)</f>
        <v>Austria</v>
      </c>
      <c r="BY23" s="212">
        <f ca="1">VLOOKUP($BX23,$AI$22:$AR$25,10,FALSE)</f>
        <v>834031212199.89001</v>
      </c>
      <c r="CA23" s="212">
        <v>2</v>
      </c>
      <c r="CB23" s="212" t="str">
        <f ca="1">VLOOKUP(CA23,$AH$22:$AI$25,2,0)</f>
        <v>Austria</v>
      </c>
      <c r="CC23" s="212">
        <f ca="1">VLOOKUP(CB23,$AI$22:$AR$25,2,FALSE)</f>
        <v>6</v>
      </c>
      <c r="CD23" s="497">
        <f ca="1">IF(SUM($AK$22:$AK$25)=12,MIN(ABS(BY22-BY23),ABS(BY23-BY24)),100)</f>
        <v>416625020099.98999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5">
      <c r="A24" s="412" t="str">
        <f t="array" aca="1" ref="A24" ca="1">IF(ROWS(A$21:A24)&lt;=$C$20,INDEX(INDIRECT(A$20),SMALL(IF(Nivell=$B$20,ROW(Nivell)-ROW(Equipos!$C$2)+1),ROWS(B$20:B23))),"")</f>
        <v>Macedonia del Norte</v>
      </c>
      <c r="B24" s="413"/>
      <c r="C24" s="213"/>
      <c r="D24" s="255"/>
      <c r="E24" s="567"/>
      <c r="F24" s="33">
        <f>Horarios!A24</f>
        <v>44368.75</v>
      </c>
      <c r="G24" s="34">
        <f>Horarios!A24+VLOOKUP($G$2,Horarios!$K$4:$O$27,4,0)*VLOOKUP($G$2,Horarios!$K$4:$O$27,5,0)</f>
        <v>44368.75</v>
      </c>
      <c r="H24" s="33" t="s">
        <v>75</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7"/>
      <c r="AF24" s="488">
        <f ca="1">VLOOKUP($R24,$AI$22:$AR$25,10,FALSE)</f>
        <v>417406192099.90002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834031212199.89001</v>
      </c>
      <c r="AS24" s="487">
        <f ca="1">AH24</f>
        <v>2</v>
      </c>
      <c r="AT24" s="487"/>
      <c r="AU24" s="487">
        <f ca="1">IFERROR(AR24-VLOOKUP(AI24,$AB$22:$AC$25,2,0),AR24)</f>
        <v>834031212199.89001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-2</v>
      </c>
      <c r="BK24" s="515">
        <f ca="1">BE24-BF23</f>
        <v>1</v>
      </c>
      <c r="BL24" s="515">
        <v>0</v>
      </c>
      <c r="BM24" s="515">
        <f ca="1">BG24-BF25</f>
        <v>2</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834031212199.89001</v>
      </c>
      <c r="BX24" s="212" t="str">
        <f ca="1">VLOOKUP(Q24,$AH$22:$AI$25,2,0)</f>
        <v>Ucrania</v>
      </c>
      <c r="BY24" s="212">
        <f ca="1">VLOOKUP($BX24,$AI$22:$AR$25,10,FALSE)</f>
        <v>417406192099.90002</v>
      </c>
      <c r="CA24" s="212">
        <v>3</v>
      </c>
      <c r="CB24" s="212" t="str">
        <f ca="1">VLOOKUP(CA24,$AH$22:$AI$25,2,0)</f>
        <v>Ucrania</v>
      </c>
      <c r="CC24" s="212">
        <f ca="1">VLOOKUP(CB24,$AI$22:$AR$25,2,FALSE)</f>
        <v>3</v>
      </c>
      <c r="CD24" s="497">
        <f ca="1">IF(SUM($AK$22:$AK$25)=12,MIN(ABS(BY23-BY24),ABS(BY24-BY25)),100)</f>
        <v>416625020099.98999</v>
      </c>
      <c r="CE24" s="212">
        <f ca="1">VLOOKUP($CB24,$AI$22:$AR$25,9,FALSE)</f>
        <v>-1</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75" thickBot="1" x14ac:dyDescent="0.3">
      <c r="A25" s="210"/>
      <c r="B25" s="210"/>
      <c r="C25" s="210"/>
      <c r="D25" s="255"/>
      <c r="E25" s="568"/>
      <c r="F25" s="80">
        <f>Horarios!A25</f>
        <v>44368.75</v>
      </c>
      <c r="G25" s="81">
        <f>Horarios!A25+VLOOKUP($G$2,Horarios!$K$4:$O$27,4,0)*VLOOKUP($G$2,Horarios!$K$4:$O$27,5,0)</f>
        <v>44368.75</v>
      </c>
      <c r="H25" s="80" t="s">
        <v>75</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6"/>
      <c r="AF25" s="488">
        <f ca="1">VLOOKUP($R25,$AI$22:$AR$25,10,FALSE)</f>
        <v>781140999.88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8</v>
      </c>
      <c r="AQ25" s="487">
        <f ca="1">AO25-AP25</f>
        <v>-6</v>
      </c>
      <c r="AR25" s="487">
        <f ca="1">IF(AK25=0,-($AW$14*VLOOKUP(AI25,Tabla3[[NombreEquipo]:[Rank]],3,FALSE)),AJ25*$AW$4+BA25+AQ25*$AW$11+AO25*$AW$12+AL25*$AW$13-($AW$14*VLOOKUP(AI25,Tabla3[[NombreEquipo]:[Rank]],3,FALSE)/100))</f>
        <v>781140999.88</v>
      </c>
      <c r="AS25" s="487">
        <f ca="1">AH25</f>
        <v>4</v>
      </c>
      <c r="AT25" s="487"/>
      <c r="AU25" s="487">
        <f ca="1">IFERROR(AR25-VLOOKUP(AI25,$AB$22:$AC$25,2,0),AR25)</f>
        <v>781140999.88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781140999.88</v>
      </c>
      <c r="BX25" s="212" t="str">
        <f ca="1">VLOOKUP(Q25,$AH$22:$AI$25,2,0)</f>
        <v>Macedonia del Norte</v>
      </c>
      <c r="BY25" s="212">
        <f ca="1">VLOOKUP($BX25,$AI$22:$AR$25,10,FALSE)</f>
        <v>781140999.88</v>
      </c>
      <c r="CA25" s="212">
        <v>4</v>
      </c>
      <c r="CB25" s="212" t="str">
        <f ca="1">VLOOKUP(CA25,$AH$22:$AI$25,2,0)</f>
        <v>Macedonia del Norte</v>
      </c>
      <c r="CC25" s="212">
        <f ca="1">VLOOKUP(CB25,$AI$22:$AR$25,2,FALSE)</f>
        <v>0</v>
      </c>
      <c r="CD25" s="497">
        <f ca="1">IF(SUM($AK$22:$AK$25)=12,MIN(ABS(BY24-BY25),ABS(BY25-BY26)),100)</f>
        <v>781140999.88</v>
      </c>
      <c r="CE25" s="212">
        <f ca="1">VLOOKUP($CB25,$AI$22:$AR$25,9,FALSE)</f>
        <v>-6</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78</v>
      </c>
      <c r="B28" s="413" t="s">
        <v>128</v>
      </c>
      <c r="C28" s="414">
        <f>COUNTIF(Equipos!$C$2:$C$25,EUROCOPA!B28)</f>
        <v>4</v>
      </c>
      <c r="D28" s="255"/>
      <c r="E28" s="571" t="s">
        <v>128</v>
      </c>
      <c r="F28" s="294">
        <f>Horarios!A28</f>
        <v>44360.625</v>
      </c>
      <c r="G28" s="295">
        <f>Horarios!A28+VLOOKUP($G$2,Horarios!$K$4:$O$27,4,0)*VLOOKUP($G$2,Horarios!$K$4:$O$27,5,0)</f>
        <v>44360.625</v>
      </c>
      <c r="H28" s="294" t="s">
        <v>73</v>
      </c>
      <c r="I28" s="296" t="str">
        <f ca="1">A29</f>
        <v>Inglaterra</v>
      </c>
      <c r="J28" s="297"/>
      <c r="K28" s="298">
        <v>1</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17" t="s">
        <v>28</v>
      </c>
      <c r="BI28" s="517"/>
      <c r="BJ28" s="517"/>
      <c r="BK28" s="517"/>
      <c r="BL28" s="517"/>
      <c r="BM28" s="51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2</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72"/>
      <c r="F29" s="287">
        <f>Horarios!A29</f>
        <v>44361.625</v>
      </c>
      <c r="G29" s="288">
        <f>Horarios!A29+VLOOKUP($G$2,Horarios!$K$4:$O$27,4,0)*VLOOKUP($G$2,Horarios!$K$4:$O$27,5,0)</f>
        <v>44361.625</v>
      </c>
      <c r="H29" s="287" t="s">
        <v>73</v>
      </c>
      <c r="I29" s="289" t="str">
        <f ca="1">A31</f>
        <v>Escocia</v>
      </c>
      <c r="J29" s="290"/>
      <c r="K29" s="291">
        <v>0</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72"/>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2</v>
      </c>
      <c r="Y30" s="355">
        <f ca="1">VLOOKUP($R30,$AI$30:$AR$33,8,FALSE)</f>
        <v>0</v>
      </c>
      <c r="Z30" s="356">
        <f ca="1">VLOOKUP($R30,$AI$30:$AR$33,9,FALSE)</f>
        <v>2</v>
      </c>
      <c r="AA30" s="96">
        <f ca="1">IF(SUM($AK$30:$AK$33)=12,MIN(ABS(BY29-BY30),ABS(BY30-BY31)),100)</f>
        <v>415314609100.01001</v>
      </c>
      <c r="AB30" s="123" t="str">
        <f ca="1">IF(AND(AA30&gt;=0,AA30&lt;90),VLOOKUP(Q30,$BU$30:$BV$33,2,0),"")</f>
        <v/>
      </c>
      <c r="AC30" s="95"/>
      <c r="AD30" s="96"/>
      <c r="AE30" s="476"/>
      <c r="AF30" s="488">
        <f ca="1">VLOOKUP($R30,$AI$30:$AR$33,10,FALSE)</f>
        <v>972906221199.87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2</v>
      </c>
      <c r="AP30" s="487">
        <f t="array" aca="1" ref="AP30" ca="1">SUMIFS($K$4:$K$49,$N$4:$N$49,AI30,$K$4:$K$49,"&lt;&gt;",$L$4:$L$49,"&lt;&gt;")+SUMIFS($L$4:$L$49,$I$4:$I$49,AI30,$K$4:$K$49,"&lt;&gt;",$L$4:$L$49,"&lt;&gt;")</f>
        <v>0</v>
      </c>
      <c r="AQ30" s="487">
        <f ca="1">AO30-AP30</f>
        <v>2</v>
      </c>
      <c r="AR30" s="487">
        <f ca="1">IF(AK30=0,-($AW$14*VLOOKUP(AI30,Tabla3[[NombreEquipo]:[Rank]],3,FALSE)),AJ30*$AW$4+BA30+AQ30*$AW$11+AO30*$AW$12+AL30*$AW$13-($AW$14*VLOOKUP(AI30,Tabla3[[NombreEquipo]:[Rank]],3,FALSE)/100))</f>
        <v>972906221199.87</v>
      </c>
      <c r="AS30" s="487">
        <f ca="1">AH30</f>
        <v>1</v>
      </c>
      <c r="AT30" s="487"/>
      <c r="AU30" s="487">
        <f ca="1">IFERROR(AR30-VLOOKUP(AI30,$AB$30:$AC$33,2,0),AR30)</f>
        <v>972906221199.87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0</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1</v>
      </c>
      <c r="BL30" s="515">
        <f ca="1">BF30-BD32</f>
        <v>0</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1</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972906221199.87</v>
      </c>
      <c r="BX30" s="212" t="str">
        <f ca="1">VLOOKUP(Q30,$AH$30:$AI$33,2,0)</f>
        <v>Inglaterra</v>
      </c>
      <c r="BY30" s="212">
        <f ca="1">VLOOKUP($BX30,$AI$30:$AR$33,10,FALSE)</f>
        <v>972906221199.87</v>
      </c>
      <c r="CA30" s="212">
        <v>1</v>
      </c>
      <c r="CB30" s="212" t="str">
        <f ca="1">VLOOKUP(CA30,$AH$30:$AI$33,2,0)</f>
        <v>Inglaterra</v>
      </c>
      <c r="CC30" s="212">
        <f ca="1">VLOOKUP(CB30,$AI$30:$AR$33,2,FALSE)</f>
        <v>7</v>
      </c>
      <c r="CD30" s="497">
        <f ca="1">IF(SUM($AK$30:$AK$33)=12,MIN(ABS(BY29-BY30),ABS(BY30-BY31)),100)</f>
        <v>415314609100.01001</v>
      </c>
      <c r="CE30" s="212">
        <f ca="1">VLOOKUP($CB30,$AI$30:$AR$33,9,FALSE)</f>
        <v>2</v>
      </c>
      <c r="CF30" s="212">
        <f ca="1">VLOOKUP($CB30,$AI$30:$AR$33,7,FALSE)</f>
        <v>2</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5">
      <c r="A31" s="412" t="str">
        <f t="array" aca="1" ref="A31" ca="1">IF(ROWS(A$29:A31)&lt;=$C$28,INDEX(INDIRECT(A$28),SMALL(IF(Nivell=$B$28,ROW(Nivell)-ROW(Equipos!$C$2)+1),ROWS(B$28:B30))),"")</f>
        <v>Escocia</v>
      </c>
      <c r="B31" s="413"/>
      <c r="C31" s="213"/>
      <c r="D31" s="255"/>
      <c r="E31" s="572"/>
      <c r="F31" s="287">
        <f>Horarios!A31</f>
        <v>44365.875</v>
      </c>
      <c r="G31" s="288">
        <f>Horarios!A31+VLOOKUP($G$2,Horarios!$K$4:$O$27,4,0)*VLOOKUP($G$2,Horarios!$K$4:$O$27,5,0)</f>
        <v>44365.875</v>
      </c>
      <c r="H31" s="287" t="s">
        <v>74</v>
      </c>
      <c r="I31" s="289" t="str">
        <f ca="1">A29</f>
        <v>Inglaterra</v>
      </c>
      <c r="J31" s="290"/>
      <c r="K31" s="291">
        <v>0</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5">
        <f ca="1">VLOOKUP($R31,$AI$30:$AR$33,9,FALSE)</f>
        <v>1</v>
      </c>
      <c r="AA31" s="96">
        <f ca="1">IF(SUM($AK$30:$AK$33)=12,MIN(ABS(BY30-BY31),ABS(BY31-BY32)),100)</f>
        <v>500.02001953125</v>
      </c>
      <c r="AB31" s="123" t="str">
        <f ca="1">IF(AND(AA31&gt;=0,AA31&lt;90),VLOOKUP(Q31,$BU$30:$BV$33,2,0),"")</f>
        <v/>
      </c>
      <c r="AC31" s="97"/>
      <c r="AD31" s="98"/>
      <c r="AE31" s="477"/>
      <c r="AF31" s="488">
        <f ca="1">VLOOKUP($R31,$AI$30:$AR$33,10,FALSE)</f>
        <v>557591612099.85999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557591612099.85999</v>
      </c>
      <c r="AS31" s="487">
        <f ca="1">AH31</f>
        <v>2</v>
      </c>
      <c r="AT31" s="487"/>
      <c r="AU31" s="487">
        <f ca="1">IFERROR(AR31-VLOOKUP(AI31,$AB$30:$AC$33,2,0),AR31)</f>
        <v>557591612099.85999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2</v>
      </c>
      <c r="BM31" s="515">
        <f ca="1">BG31-BE33</f>
        <v>0</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557591612099.85999</v>
      </c>
      <c r="BX31" s="212" t="str">
        <f ca="1">VLOOKUP(Q31,$AH$30:$AI$33,2,0)</f>
        <v>Croacia</v>
      </c>
      <c r="BY31" s="212">
        <f ca="1">VLOOKUP($BX31,$AI$30:$AR$33,10,FALSE)</f>
        <v>557591612099.85999</v>
      </c>
      <c r="CA31" s="212">
        <v>2</v>
      </c>
      <c r="CB31" s="212" t="str">
        <f ca="1">VLOOKUP(CA31,$AH$30:$AI$33,2,0)</f>
        <v>Croacia</v>
      </c>
      <c r="CC31" s="212">
        <f ca="1">VLOOKUP(CB31,$AI$30:$AR$33,2,FALSE)</f>
        <v>4</v>
      </c>
      <c r="CD31" s="497">
        <f ca="1">IF(SUM($AK$30:$AK$33)=12,MIN(ABS(BY30-BY31),ABS(BY31-BY32)),100)</f>
        <v>500.02001953125</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25">
      <c r="A32" s="412" t="str">
        <f t="array" aca="1" ref="A32" ca="1">IF(ROWS(A$29:A32)&lt;=$C$28,INDEX(INDIRECT(A$28),SMALL(IF(Nivell=$B$28,ROW(Nivell)-ROW(Equipos!$C$2)+1),ROWS(B$28:B31))),"")</f>
        <v>República Checa</v>
      </c>
      <c r="B32" s="413"/>
      <c r="C32" s="213"/>
      <c r="D32" s="255"/>
      <c r="E32" s="572"/>
      <c r="F32" s="287">
        <f>Horarios!A32</f>
        <v>44369.875</v>
      </c>
      <c r="G32" s="288">
        <f>Horarios!A32+VLOOKUP($G$2,Horarios!$K$4:$O$27,4,0)*VLOOKUP($G$2,Horarios!$K$4:$O$27,5,0)</f>
        <v>44369.875</v>
      </c>
      <c r="H32" s="287" t="s">
        <v>75</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5">
        <f ca="1">VLOOKUP($R32,$AI$30:$AR$33,9,FALSE)</f>
        <v>1</v>
      </c>
      <c r="AA32" s="96">
        <f ca="1">IF(SUM($AK$30:$AK$33)=12,MIN(ABS(BY31-BY32),ABS(BY32-BY33)),100)</f>
        <v>500.02001953125</v>
      </c>
      <c r="AB32" s="123" t="str">
        <f ca="1">IF(AND(AA32&gt;=0,AA32&lt;90),VLOOKUP(Q32,$BU$30:$BV$33,2,0),"")</f>
        <v/>
      </c>
      <c r="AC32" s="97"/>
      <c r="AD32" s="98"/>
      <c r="AE32" s="477"/>
      <c r="AF32" s="488">
        <f ca="1">VLOOKUP($R32,$AI$30:$AR$33,10,FALSE)</f>
        <v>557591611599.83997</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5</v>
      </c>
      <c r="AQ32" s="487">
        <f ca="1">AO32-AP32</f>
        <v>-4</v>
      </c>
      <c r="AR32" s="487">
        <f ca="1">IF(AK32=0,-($AW$14*VLOOKUP(AI32,Tabla3[[NombreEquipo]:[Rank]],3,FALSE)),AJ32*$AW$4+BA32+AQ32*$AW$11+AO32*$AW$12+AL32*$AW$13-($AW$14*VLOOKUP(AI32,Tabla3[[NombreEquipo]:[Rank]],3,FALSE)/100))</f>
        <v>139656160499.85001</v>
      </c>
      <c r="AS32" s="487">
        <f ca="1">AH32</f>
        <v>4</v>
      </c>
      <c r="AT32" s="487"/>
      <c r="AU32" s="487">
        <f ca="1">IFERROR(AR32-VLOOKUP(AI32,$AB$30:$AC$33,2,0),AR32)</f>
        <v>139656160499.85001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0</v>
      </c>
      <c r="BK32" s="515">
        <f ca="1">BE32-BF31</f>
        <v>-2</v>
      </c>
      <c r="BL32" s="515">
        <v>0</v>
      </c>
      <c r="BM32" s="515">
        <f ca="1">BG32-BF33</f>
        <v>-2</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1</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139656160499.85001</v>
      </c>
      <c r="BX32" s="212" t="str">
        <f ca="1">VLOOKUP(Q32,$AH$30:$AI$33,2,0)</f>
        <v>República Checa</v>
      </c>
      <c r="BY32" s="212">
        <f ca="1">VLOOKUP($BX32,$AI$30:$AR$33,10,FALSE)</f>
        <v>557591611599.83997</v>
      </c>
      <c r="CA32" s="212">
        <v>3</v>
      </c>
      <c r="CB32" s="212" t="str">
        <f ca="1">VLOOKUP(CA32,$AH$30:$AI$33,2,0)</f>
        <v>República Checa</v>
      </c>
      <c r="CC32" s="212">
        <f ca="1">VLOOKUP(CB32,$AI$30:$AR$33,2,FALSE)</f>
        <v>4</v>
      </c>
      <c r="CD32" s="497">
        <f ca="1">IF(SUM($AK$30:$AK$33)=12,MIN(ABS(BY31-BY32),ABS(BY32-BY33)),100)</f>
        <v>500.02001953125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3">
      <c r="A33" s="210"/>
      <c r="B33" s="210"/>
      <c r="C33" s="210"/>
      <c r="D33" s="255"/>
      <c r="E33" s="573"/>
      <c r="F33" s="302">
        <f>Horarios!A33</f>
        <v>44369.875</v>
      </c>
      <c r="G33" s="303">
        <f>Horarios!A33+VLOOKUP($G$2,Horarios!$K$4:$O$27,4,0)*VLOOKUP($G$2,Horarios!$K$4:$O$27,5,0)</f>
        <v>44369.875</v>
      </c>
      <c r="H33" s="302" t="s">
        <v>75</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139656160499.85001</v>
      </c>
      <c r="AB33" s="123" t="str">
        <f ca="1">IF(AND(AA33&gt;=0,AA33&lt;90),VLOOKUP(Q33,$BU$30:$BV$33,2,0),"")</f>
        <v/>
      </c>
      <c r="AC33" s="95"/>
      <c r="AD33" s="96"/>
      <c r="AE33" s="476"/>
      <c r="AF33" s="488">
        <f ca="1">VLOOKUP($R33,$AI$30:$AR$33,10,FALSE)</f>
        <v>139656160499.85001</v>
      </c>
      <c r="AG33" s="487">
        <f ca="1">RANK(AU33,$AU$30:$AU$33)</f>
        <v>3</v>
      </c>
      <c r="AH33" s="487">
        <f ca="1">RANK(AR33,$AR$30:$AR$33)</f>
        <v>3</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3</v>
      </c>
      <c r="AP33" s="487">
        <f t="array" aca="1" ref="AP33" ca="1">SUMIFS($K$4:$K$49,$N$4:$N$49,AI33,$K$4:$K$49,"&lt;&gt;",$L$4:$L$49,"&lt;&gt;")+SUMIFS($L$4:$L$49,$I$4:$I$49,AI33,$K$4:$K$49,"&lt;&gt;",$L$4:$L$49,"&lt;&gt;")</f>
        <v>2</v>
      </c>
      <c r="AQ33" s="487">
        <f ca="1">AO33-AP33</f>
        <v>1</v>
      </c>
      <c r="AR33" s="487">
        <f ca="1">IF(AK33=0,-($AW$14*VLOOKUP(AI33,Tabla3[[NombreEquipo]:[Rank]],3,FALSE)),AJ33*$AW$4+BA33+AQ33*$AW$11+AO33*$AW$12+AL33*$AW$13-($AW$14*VLOOKUP(AI33,Tabla3[[NombreEquipo]:[Rank]],3,FALSE)/100))</f>
        <v>557591611599.83997</v>
      </c>
      <c r="AS33" s="487">
        <f ca="1">AH33</f>
        <v>3</v>
      </c>
      <c r="AT33" s="487"/>
      <c r="AU33" s="487">
        <f ca="1">IFERROR(AR33-VLOOKUP(AI33,$AB$30:$AC$33,2,0),AR33)</f>
        <v>557591611599.83997</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2</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557591611599.83997</v>
      </c>
      <c r="BX33" s="212" t="str">
        <f ca="1">VLOOKUP(Q33,$AH$30:$AI$33,2,0)</f>
        <v>Escocia</v>
      </c>
      <c r="BY33" s="212">
        <f ca="1">VLOOKUP($BX33,$AI$30:$AR$33,10,FALSE)</f>
        <v>139656160499.85001</v>
      </c>
      <c r="CA33" s="212">
        <v>4</v>
      </c>
      <c r="CB33" s="212" t="str">
        <f ca="1">VLOOKUP(CA33,$AH$30:$AI$33,2,0)</f>
        <v>Escocia</v>
      </c>
      <c r="CC33" s="212">
        <f ca="1">VLOOKUP(CB33,$AI$30:$AR$33,2,FALSE)</f>
        <v>1</v>
      </c>
      <c r="CD33" s="497">
        <f ca="1">IF(SUM($AK$30:$AK$33)=12,MIN(ABS(BY32-BY33),ABS(BY33-BY34)),100)</f>
        <v>139656160499.85001</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78</v>
      </c>
      <c r="B36" s="413" t="s">
        <v>3</v>
      </c>
      <c r="C36" s="414">
        <f>COUNTIF(Equipos!$C$2:$C$25,EUROCOPA!B36)</f>
        <v>4</v>
      </c>
      <c r="D36" s="255"/>
      <c r="E36" s="574" t="s">
        <v>3</v>
      </c>
      <c r="F36" s="272">
        <f>Horarios!A36</f>
        <v>44361.75</v>
      </c>
      <c r="G36" s="273">
        <f>Horarios!A36+VLOOKUP($G$2,Horarios!$K$4:$O$27,4,0)*VLOOKUP($G$2,Horarios!$K$4:$O$27,5,0)</f>
        <v>44361.75</v>
      </c>
      <c r="H36" s="272" t="s">
        <v>73</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17" t="s">
        <v>28</v>
      </c>
      <c r="BI36" s="517"/>
      <c r="BJ36" s="517"/>
      <c r="BK36" s="517"/>
      <c r="BL36" s="517"/>
      <c r="BM36" s="51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75"/>
      <c r="F37" s="265">
        <f>Horarios!A37</f>
        <v>44361.875</v>
      </c>
      <c r="G37" s="266">
        <f>Horarios!A37+VLOOKUP($G$2,Horarios!$K$4:$O$27,4,0)*VLOOKUP($G$2,Horarios!$K$4:$O$27,5,0)</f>
        <v>44361.875</v>
      </c>
      <c r="H37" s="265" t="s">
        <v>73</v>
      </c>
      <c r="I37" s="267" t="str">
        <f ca="1">A37</f>
        <v>España</v>
      </c>
      <c r="J37" s="268"/>
      <c r="K37" s="269">
        <v>0</v>
      </c>
      <c r="L37" s="269">
        <v>0</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75"/>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Suecia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277749969099.98999</v>
      </c>
      <c r="AB38" s="123" t="str">
        <f ca="1">IF(AND(AA38&gt;=0,AA38&lt;90),VLOOKUP(Q38,$BU$38:$BV$41,2,0),"")</f>
        <v/>
      </c>
      <c r="AC38" s="95"/>
      <c r="AD38" s="96"/>
      <c r="AE38" s="476"/>
      <c r="AF38" s="488">
        <f ca="1">VLOOKUP($R38,$AI$38:$AR$41,10,FALSE)</f>
        <v>972906222199.81995</v>
      </c>
      <c r="AG38" s="487">
        <f ca="1">RANK(AU38,$AU$38:$AU$41)</f>
        <v>2</v>
      </c>
      <c r="AH38" s="487">
        <f ca="1">RANK(AR38,$AR$38:$AR$41)</f>
        <v>2</v>
      </c>
      <c r="AI38" s="212" t="str">
        <f ca="1">A37</f>
        <v>España</v>
      </c>
      <c r="AJ38" s="487">
        <f ca="1">AL38*3+AM38*1+AN38*0</f>
        <v>5</v>
      </c>
      <c r="AK38" s="487">
        <f ca="1">COUNTIFS($I$4:$I$49,AI38,$K$4:$K$49,"&lt;&gt;",$L$4:$L$49,"&lt;&gt;")+COUNTIFS($N$4:$N$49,AI38,$L$4:$L$49,"&lt;&gt;",$K$4:$K$49,"&lt;&gt;")</f>
        <v>3</v>
      </c>
      <c r="AL38" s="487">
        <f t="array" aca="1" ref="AL38" ca="1">SUM(($I$4:$I$49=AI38)*($K$4:$K$49&lt;&gt;"")*($L$4:$L$49&lt;&gt;"")*($K$4:$K$49&gt;$L$4:$L$49),($N$4:$N$49=AI38)*($K$4:$K$49&lt;&gt;"")*($L$4:$L$49&lt;&gt;"")*($K$4:$K$49&lt;$L$4:$L$49))</f>
        <v>1</v>
      </c>
      <c r="AM38" s="487">
        <f t="array" aca="1" ref="AM38" ca="1">SUM(($I$4:$I$49=AI38)*($K$4:$K$49&lt;&gt;"")*($L$4:$L$49&lt;&gt;"")*($K$4:$K$49=$L$4:$L$49),($N$4:$N$49=AI38)*($K$4:$K$49&lt;&gt;"")*($L$4:$L$49&lt;&gt;"")*($K$4:$K$49=$L$4:$L$49))</f>
        <v>2</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1</v>
      </c>
      <c r="AQ38" s="487">
        <f ca="1">AO38-AP38</f>
        <v>5</v>
      </c>
      <c r="AR38" s="487">
        <f ca="1">IF(AK38=0,-($AW$14*VLOOKUP(AI38,Tabla3[[NombreEquipo]:[Rank]],3,FALSE)),AJ38*$AW$4+BA38+AQ38*$AW$11+AO38*$AW$12+AL38*$AW$13-($AW$14*VLOOKUP(AI38,Tabla3[[NombreEquipo]:[Rank]],3,FALSE)/100))</f>
        <v>695156253099.82996</v>
      </c>
      <c r="AS38" s="487">
        <f ca="1">AH38</f>
        <v>2</v>
      </c>
      <c r="AT38" s="487"/>
      <c r="AU38" s="487">
        <f ca="1">IFERROR(AR38-VLOOKUP(AI38,$AB$38:$AC$41,2,0),AR38)</f>
        <v>695156253099.82996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0</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5</v>
      </c>
      <c r="BH38" s="515">
        <f ca="1">RANK(BI38,BI38:BI41,1)</f>
        <v>1</v>
      </c>
      <c r="BI38" s="515">
        <f ca="1">SUM(IF(AND(AJ38=AJ39),BK38,0),IF(AND(AJ38=AJ40),BL38,0),IF(AND(AJ38=AJ41),BM38,0))</f>
        <v>0</v>
      </c>
      <c r="BJ38" s="515">
        <v>0</v>
      </c>
      <c r="BK38" s="515">
        <f ca="1">BE38-BD39</f>
        <v>0</v>
      </c>
      <c r="BL38" s="515">
        <f ca="1">BF38-BD40</f>
        <v>0</v>
      </c>
      <c r="BM38" s="515">
        <f ca="1">BG38-BD41</f>
        <v>5</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695156253099.82996</v>
      </c>
      <c r="BX38" s="212" t="str">
        <f ca="1">VLOOKUP(Q38,$AH$38:$AI$41,2,0)</f>
        <v>Suecia</v>
      </c>
      <c r="BY38" s="212">
        <f ca="1">VLOOKUP($BX38,$AI$38:$AR$41,10,FALSE)</f>
        <v>972906222199.81995</v>
      </c>
      <c r="CA38" s="212">
        <v>1</v>
      </c>
      <c r="CB38" s="212" t="str">
        <f ca="1">VLOOKUP(CA38,$AH$38:$AI$41,2,0)</f>
        <v>Suecia</v>
      </c>
      <c r="CC38" s="212">
        <f ca="1">VLOOKUP(CB38,$AI$38:$AR$41,2,FALSE)</f>
        <v>7</v>
      </c>
      <c r="CD38" s="497">
        <f ca="1">IF(SUM($AK$38:$AK$41)=12,MIN(ABS(BY37-BY38),ABS(BY38-BY39)),100)</f>
        <v>277749969099.98999</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75"/>
      <c r="F39" s="265">
        <f>Horarios!A39</f>
        <v>44366.875</v>
      </c>
      <c r="G39" s="266">
        <f>Horarios!A39+VLOOKUP($G$2,Horarios!$K$4:$O$27,4,0)*VLOOKUP($G$2,Horarios!$K$4:$O$27,5,0)</f>
        <v>44366.875</v>
      </c>
      <c r="H39" s="265" t="s">
        <v>74</v>
      </c>
      <c r="I39" s="267" t="str">
        <f ca="1">A37</f>
        <v>España</v>
      </c>
      <c r="J39" s="268"/>
      <c r="K39" s="269">
        <v>1</v>
      </c>
      <c r="L39" s="269">
        <v>1</v>
      </c>
      <c r="M39" s="271"/>
      <c r="N39" s="279" t="str">
        <f ca="1">A39</f>
        <v>Polonia</v>
      </c>
      <c r="O39" s="111">
        <f t="shared" si="21"/>
        <v>1</v>
      </c>
      <c r="P39" s="107"/>
      <c r="Q39" s="343">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4">
        <f ca="1">VLOOKUP($R39,$AI$38:$AR$41,9,FALSE)</f>
        <v>5</v>
      </c>
      <c r="AA39" s="96">
        <f ca="1">IF(SUM($AK$38:$AK$41)=12,MIN(ABS(BY38-BY39),ABS(BY39-BY40)),100)</f>
        <v>277749969099.98999</v>
      </c>
      <c r="AB39" s="123" t="str">
        <f ca="1">IF(AND(AA39&gt;=0,AA39&lt;90),VLOOKUP(Q39,$BU$38:$BV$41,2,0),"")</f>
        <v/>
      </c>
      <c r="AC39" s="97"/>
      <c r="AD39" s="98"/>
      <c r="AE39" s="477"/>
      <c r="AF39" s="488">
        <f ca="1">VLOOKUP($R39,$AI$38:$AR$41,10,FALSE)</f>
        <v>695156253099.82996</v>
      </c>
      <c r="AG39" s="487">
        <f ca="1">RANK(AU39,$AU$38:$AU$41)</f>
        <v>1</v>
      </c>
      <c r="AH39" s="487">
        <f ca="1">RANK(AR39,$AR$38:$AR$41)</f>
        <v>1</v>
      </c>
      <c r="AI39" s="212" t="str">
        <f ca="1">A38</f>
        <v>Suecia</v>
      </c>
      <c r="AJ39" s="487">
        <f ca="1">AL39*3+AM39*1+AN39*0</f>
        <v>7</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1</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972906222199.81995</v>
      </c>
      <c r="AS39" s="487">
        <f ca="1">AH39</f>
        <v>1</v>
      </c>
      <c r="AT39" s="487"/>
      <c r="AU39" s="487">
        <f ca="1">IFERROR(AR39-VLOOKUP(AI39,$AB$38:$AC$41,2,0),AR39)</f>
        <v>972906222199.81995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1</v>
      </c>
      <c r="BV39" s="212" t="str">
        <f ca="1">A38</f>
        <v>Suecia</v>
      </c>
      <c r="BW39" s="212">
        <f ca="1">IF(AK39=0,-($AW$14*VLOOKUP(AI39,Tabla3[[NombreEquipo]:[Rank]],3,FALSE)),AJ39*$AW$4+BA39+AQ39*$AW$11+AO39*$AW$12+AL39*$AW$13-($AW$14*VLOOKUP(AI39,Tabla3[[NombreEquipo]:[Rank]],3,FALSE)/100))</f>
        <v>972906222199.81995</v>
      </c>
      <c r="BX39" s="212" t="str">
        <f ca="1">VLOOKUP(Q39,$AH$38:$AI$41,2,0)</f>
        <v>España</v>
      </c>
      <c r="BY39" s="212">
        <f ca="1">VLOOKUP($BX39,$AI$38:$AR$41,10,FALSE)</f>
        <v>695156253099.82996</v>
      </c>
      <c r="CA39" s="212">
        <v>2</v>
      </c>
      <c r="CB39" s="212" t="str">
        <f ca="1">VLOOKUP(CA39,$AH$38:$AI$41,2,0)</f>
        <v>España</v>
      </c>
      <c r="CC39" s="212">
        <f ca="1">VLOOKUP(CB39,$AI$38:$AR$41,2,FALSE)</f>
        <v>5</v>
      </c>
      <c r="CD39" s="497">
        <f ca="1">IF(SUM($AK$38:$AK$41)=12,MIN(ABS(BY38-BY39),ABS(BY39-BY40)),100)</f>
        <v>277749969099.98999</v>
      </c>
      <c r="CE39" s="212">
        <f ca="1">VLOOKUP($CB39,$AI$38:$AR$41,9,FALSE)</f>
        <v>5</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75"/>
      <c r="F40" s="265">
        <f>Horarios!A40</f>
        <v>44370.75</v>
      </c>
      <c r="G40" s="266">
        <f>Horarios!A40+VLOOKUP($G$2,Horarios!$K$4:$O$27,4,0)*VLOOKUP($G$2,Horarios!$K$4:$O$27,5,0)</f>
        <v>44370.75</v>
      </c>
      <c r="H40" s="265" t="s">
        <v>75</v>
      </c>
      <c r="I40" s="267" t="str">
        <f ca="1">A38</f>
        <v>Suecia</v>
      </c>
      <c r="J40" s="268"/>
      <c r="K40" s="269">
        <v>3</v>
      </c>
      <c r="L40" s="269">
        <v>2</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4">
        <f ca="1">VLOOKUP($R40,$AI$38:$AR$41,9,FALSE)</f>
        <v>-5</v>
      </c>
      <c r="AA40" s="96">
        <f ca="1">IF(SUM($AK$38:$AK$41)=12,MIN(ABS(BY39-BY40),ABS(BY40-BY41)),100)</f>
        <v>277749969099.98999</v>
      </c>
      <c r="AB40" s="123" t="str">
        <f ca="1">IF(AND(AA40&gt;=0,AA40&lt;90),VLOOKUP(Q40,$BU$38:$BV$41,2,0),"")</f>
        <v/>
      </c>
      <c r="AC40" s="97"/>
      <c r="AD40" s="98"/>
      <c r="AE40" s="477"/>
      <c r="AF40" s="488">
        <f ca="1">VLOOKUP($R40,$AI$38:$AR$41,10,FALSE)</f>
        <v>417406151099.79999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139656181999.81</v>
      </c>
      <c r="AS40" s="487">
        <f ca="1">AH40</f>
        <v>4</v>
      </c>
      <c r="AT40" s="487"/>
      <c r="AU40" s="487">
        <f ca="1">IFERROR(AR40-VLOOKUP(AI40,$AB$38:$AC$41,2,0),AR40)</f>
        <v>139656181999.81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139656181999.81</v>
      </c>
      <c r="BX40" s="212" t="str">
        <f ca="1">VLOOKUP(Q40,$AH$38:$AI$41,2,0)</f>
        <v>Eslovaquia</v>
      </c>
      <c r="BY40" s="212">
        <f ca="1">VLOOKUP($BX40,$AI$38:$AR$41,10,FALSE)</f>
        <v>417406151099.79999</v>
      </c>
      <c r="CA40" s="212">
        <v>3</v>
      </c>
      <c r="CB40" s="212" t="str">
        <f ca="1">VLOOKUP(CA40,$AH$38:$AI$41,2,0)</f>
        <v>Eslovaquia</v>
      </c>
      <c r="CC40" s="212">
        <f ca="1">VLOOKUP(CB40,$AI$38:$AR$41,2,FALSE)</f>
        <v>3</v>
      </c>
      <c r="CD40" s="497">
        <f ca="1">IF(SUM($AK$38:$AK$41)=12,MIN(ABS(BY39-BY40),ABS(BY40-BY41)),100)</f>
        <v>277749969099.98999</v>
      </c>
      <c r="CE40" s="212">
        <f ca="1">VLOOKUP($CB40,$AI$38:$AR$41,9,FALSE)</f>
        <v>-5</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3">
      <c r="A41" s="210"/>
      <c r="B41" s="210"/>
      <c r="C41" s="210"/>
      <c r="D41" s="255"/>
      <c r="E41" s="576"/>
      <c r="F41" s="280">
        <f>Horarios!A41</f>
        <v>44370.75</v>
      </c>
      <c r="G41" s="281">
        <f>Horarios!A41+VLOOKUP($G$2,Horarios!$K$4:$O$27,4,0)*VLOOKUP($G$2,Horarios!$K$4:$O$27,5,0)</f>
        <v>44370.75</v>
      </c>
      <c r="H41" s="280" t="s">
        <v>75</v>
      </c>
      <c r="I41" s="282" t="str">
        <f ca="1">A40</f>
        <v>Eslovaquia</v>
      </c>
      <c r="J41" s="283"/>
      <c r="K41" s="284">
        <v>0</v>
      </c>
      <c r="L41" s="284">
        <v>5</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4</v>
      </c>
      <c r="Y41" s="347">
        <f ca="1">VLOOKUP($R41,$AI$38:$AR$41,8,FALSE)</f>
        <v>6</v>
      </c>
      <c r="Z41" s="348">
        <f ca="1">VLOOKUP($R41,$AI$38:$AR$41,9,FALSE)</f>
        <v>-2</v>
      </c>
      <c r="AA41" s="96">
        <f ca="1">IF(SUM($AK$38:$AK$41)=12,MIN(ABS(BY40-BY41),ABS(BY41-BY42)),100)</f>
        <v>139656181999.81</v>
      </c>
      <c r="AB41" s="123" t="str">
        <f ca="1">IF(AND(AA41&gt;=0,AA41&lt;90),VLOOKUP(Q41,$BU$38:$BV$41,2,0),"")</f>
        <v/>
      </c>
      <c r="AC41" s="95"/>
      <c r="AD41" s="96"/>
      <c r="AE41" s="476"/>
      <c r="AF41" s="488">
        <f ca="1">VLOOKUP($R41,$AI$38:$AR$41,10,FALSE)</f>
        <v>139656181999.81</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2</v>
      </c>
      <c r="AP41" s="487">
        <f t="array" aca="1" ref="AP41" ca="1">SUMIFS($K$4:$K$49,$N$4:$N$49,AI41,$K$4:$K$49,"&lt;&gt;",$L$4:$L$49,"&lt;&gt;")+SUMIFS($L$4:$L$49,$I$4:$I$49,AI41,$K$4:$K$49,"&lt;&gt;",$L$4:$L$49,"&lt;&gt;")</f>
        <v>7</v>
      </c>
      <c r="AQ41" s="487">
        <f ca="1">AO41-AP41</f>
        <v>-5</v>
      </c>
      <c r="AR41" s="487">
        <f ca="1">IF(AK41=0,-($AW$14*VLOOKUP(AI41,Tabla3[[NombreEquipo]:[Rank]],3,FALSE)),AJ41*$AW$4+BA41+AQ41*$AW$11+AO41*$AW$12+AL41*$AW$13-($AW$14*VLOOKUP(AI41,Tabla3[[NombreEquipo]:[Rank]],3,FALSE)/100))</f>
        <v>417406151099.79999</v>
      </c>
      <c r="AS41" s="487">
        <f ca="1">AH41</f>
        <v>3</v>
      </c>
      <c r="AT41" s="487"/>
      <c r="AU41" s="487">
        <f ca="1">IFERROR(AR41-VLOOKUP(AI41,$AB$38:$AC$41,2,0),AR41)</f>
        <v>417406151099.79999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-5</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417406151099.79999</v>
      </c>
      <c r="BX41" s="212" t="str">
        <f ca="1">VLOOKUP(Q41,$AH$38:$AI$41,2,0)</f>
        <v>Polonia</v>
      </c>
      <c r="BY41" s="212">
        <f ca="1">VLOOKUP($BX41,$AI$38:$AR$41,10,FALSE)</f>
        <v>139656181999.81</v>
      </c>
      <c r="CA41" s="212">
        <v>4</v>
      </c>
      <c r="CB41" s="212" t="str">
        <f ca="1">VLOOKUP(CA41,$AH$38:$AI$41,2,0)</f>
        <v>Polonia</v>
      </c>
      <c r="CC41" s="212">
        <f ca="1">VLOOKUP(CB41,$AI$38:$AR$41,2,FALSE)</f>
        <v>1</v>
      </c>
      <c r="CD41" s="497">
        <f ca="1">IF(SUM($AK$38:$AK$41)=12,MIN(ABS(BY40-BY41),ABS(BY41-BY42)),100)</f>
        <v>139656181999.81</v>
      </c>
      <c r="CE41" s="212">
        <f ca="1">VLOOKUP($CB41,$AI$38:$AR$41,9,FALSE)</f>
        <v>-2</v>
      </c>
      <c r="CF41" s="212">
        <f ca="1">VLOOKUP($CB41,$AI$38:$AR$41,7,FALSE)</f>
        <v>4</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78</v>
      </c>
      <c r="B44" s="413" t="s">
        <v>4</v>
      </c>
      <c r="C44" s="414">
        <f>COUNTIF(Equipos!$C$2:$C$25,EUROCOPA!B44)</f>
        <v>4</v>
      </c>
      <c r="D44" s="255"/>
      <c r="E44" s="518" t="s">
        <v>4</v>
      </c>
      <c r="F44" s="316">
        <f>Horarios!A44</f>
        <v>44362.75</v>
      </c>
      <c r="G44" s="317">
        <f>Horarios!A44+VLOOKUP($G$2,Horarios!$K$4:$O$27,4,0)*VLOOKUP($G$2,Horarios!$K$4:$O$27,5,0)</f>
        <v>44362.75</v>
      </c>
      <c r="H44" s="316" t="s">
        <v>73</v>
      </c>
      <c r="I44" s="318" t="str">
        <f ca="1">A45</f>
        <v>Hungría</v>
      </c>
      <c r="J44" s="319"/>
      <c r="K44" s="320">
        <v>0</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17" t="s">
        <v>28</v>
      </c>
      <c r="BI44" s="517"/>
      <c r="BJ44" s="517"/>
      <c r="BK44" s="517"/>
      <c r="BL44" s="517"/>
      <c r="BM44" s="51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1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19"/>
      <c r="F46" s="309">
        <f>Horarios!A46</f>
        <v>44366.625</v>
      </c>
      <c r="G46" s="310">
        <f>Horarios!A46+VLOOKUP($G$2,Horarios!$K$4:$O$27,4,0)*VLOOKUP($G$2,Horarios!$K$4:$O$27,5,0)</f>
        <v>44366.625</v>
      </c>
      <c r="H46" s="309" t="s">
        <v>74</v>
      </c>
      <c r="I46" s="311" t="str">
        <f ca="1">A45</f>
        <v>Hungría</v>
      </c>
      <c r="J46" s="312"/>
      <c r="K46" s="313">
        <v>1</v>
      </c>
      <c r="L46" s="313">
        <v>1</v>
      </c>
      <c r="M46" s="314"/>
      <c r="N46" s="323" t="str">
        <f ca="1">A47</f>
        <v>Francia</v>
      </c>
      <c r="O46" s="111">
        <f t="shared" si="27"/>
        <v>1</v>
      </c>
      <c r="P46" s="107"/>
      <c r="Q46" s="378">
        <v>1</v>
      </c>
      <c r="R46" s="379" t="str">
        <f ca="1">VLOOKUP(Q46,$AG$46:$AI$49,3,0)</f>
        <v>Francia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4</v>
      </c>
      <c r="Y46" s="380">
        <f ca="1">VLOOKUP($R46,$AI$46:$AR$49,8,FALSE)</f>
        <v>3</v>
      </c>
      <c r="Z46" s="381">
        <f ca="1">VLOOKUP($R46,$AI$46:$AR$49,9,FALSE)</f>
        <v>1</v>
      </c>
      <c r="AA46" s="96">
        <f ca="1">IF(SUM($AK$46:$AK$49)=12,MIN(ABS(BY45-BY46),ABS(BY46-BY47)),100)</f>
        <v>136674999000.01001</v>
      </c>
      <c r="AB46" s="123" t="str">
        <f ca="1">IF(AND(AA46&gt;=0,AA46&lt;90),VLOOKUP(Q46,$BU$46:$BV$49,2,0),"")</f>
        <v/>
      </c>
      <c r="AC46" s="95"/>
      <c r="AD46" s="96"/>
      <c r="AE46" s="476"/>
      <c r="AF46" s="488">
        <f ca="1">VLOOKUP($R46,$AI$46:$AR$49,10,FALSE)</f>
        <v>695281212099.77002</v>
      </c>
      <c r="AG46" s="487">
        <f ca="1">RANK(AU46,$AU$46:$AU$49)</f>
        <v>4</v>
      </c>
      <c r="AH46" s="487">
        <f ca="1">RANK(AR46,$AR$46:$AR$49)</f>
        <v>4</v>
      </c>
      <c r="AI46" s="212" t="str">
        <f ca="1">A45</f>
        <v>Hungría</v>
      </c>
      <c r="AJ46" s="487">
        <f ca="1">AL46*3+AM46*1+AN46*0</f>
        <v>2</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2</v>
      </c>
      <c r="AN46" s="487">
        <f t="array" aca="1" ref="AN46" ca="1">SUM(($I$4:$I$49=AI46)*($L$4:$L$49&lt;&gt;"")*($K$4:$K$49&lt;&gt;"")*($K$4:$K$49&lt;$L$4:$L$49),($K$4:$K$49&lt;&gt;"")*($N$4:$N$49=AI46)*($L$4:$L$49&lt;&gt;"")*($K$4:$K$49&gt;$L$4:$L$49))</f>
        <v>1</v>
      </c>
      <c r="AO46" s="487">
        <f t="array" aca="1" ref="AO46" ca="1">SUMIFS($K$4:$K$49,$I$4:$I$49,AI46,$K$4:$K$49,"&lt;&gt;",$L$4:$L$49,"&lt;&gt;")+SUMIFS($L$4:$L$49,$N$4:$N$49,AI46,$K$4:$K$49,"&lt;&gt;",$L$4:$L$49,"&lt;&gt;")</f>
        <v>3</v>
      </c>
      <c r="AP46" s="487">
        <f t="array" aca="1" ref="AP46" ca="1">SUMIFS($K$4:$K$49,$N$4:$N$49,AI46,$K$4:$K$49,"&lt;&gt;",$L$4:$L$49,"&lt;&gt;")+SUMIFS($L$4:$L$49,$I$4:$I$49,AI46,$K$4:$K$49,"&lt;&gt;",$L$4:$L$49,"&lt;&gt;")</f>
        <v>6</v>
      </c>
      <c r="AQ46" s="487">
        <f ca="1">AO46-AP46</f>
        <v>-3</v>
      </c>
      <c r="AR46" s="487">
        <f ca="1">IF(AK46=0,-($AW$14*VLOOKUP(AI46,Tabla3[[NombreEquipo]:[Rank]],3,FALSE)),AJ46*$AW$4+BA46+AQ46*$AW$11+AO46*$AW$12+AL46*$AW$13-($AW$14*VLOOKUP(AI46,Tabla3[[NombreEquipo]:[Rank]],3,FALSE)/100))</f>
        <v>278656171499.78998</v>
      </c>
      <c r="AS46" s="487">
        <f ca="1">AH46</f>
        <v>4</v>
      </c>
      <c r="AT46" s="487"/>
      <c r="AU46" s="487">
        <f ca="1">IFERROR(AR46-VLOOKUP(AI46,$AB$46:$AC$49,2,0),AR46)</f>
        <v>278656171499.78998</v>
      </c>
      <c r="AV46" s="487"/>
      <c r="AW46" s="499"/>
      <c r="AX46" s="487"/>
      <c r="AY46" s="496" t="str">
        <f ca="1">AI46</f>
        <v>Hungría</v>
      </c>
      <c r="AZ46" s="487">
        <f ca="1">COUNTIF(AJ46:AJ49,AJ46)</f>
        <v>1</v>
      </c>
      <c r="BA46" s="489">
        <f t="shared" ref="BA46" ca="1" si="28">(BB46*$AW$7)+(BH46*$AW$6)+(BN46*$AW$5)+(FI46*$AW$10)+(FK46*$AW$9)+(FM46*$AW$8)</f>
        <v>906200000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2</v>
      </c>
      <c r="BH46" s="515">
        <f ca="1">RANK(BI46,BI46:BI49,1)</f>
        <v>2</v>
      </c>
      <c r="BI46" s="515">
        <f ca="1">SUM(IF(AND(AJ46=AJ47),BK46,0),IF(AND(AJ46=AJ48),BL46,0),IF(AND(AJ46=AJ49),BM46,0))</f>
        <v>0</v>
      </c>
      <c r="BJ46" s="515">
        <v>0</v>
      </c>
      <c r="BK46" s="515">
        <f ca="1">BE46-BD47</f>
        <v>-3</v>
      </c>
      <c r="BL46" s="515">
        <f ca="1">BF46-BD48</f>
        <v>0</v>
      </c>
      <c r="BM46" s="515">
        <f ca="1">BG46-BD49</f>
        <v>0</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1</v>
      </c>
      <c r="BS46" s="514">
        <f t="array" aca="1" ref="BS46" ca="1">SUM((I$4:I$49=AY46)*(N$4:N$49=BS45)*(K$4:K$49&lt;&gt;"")*(L$4:L$49&lt;&gt;"")*(K$4:K$49&gt;L$4:L$49)*3,(N$4:N$49=AY46)*(I$4:I$49=BS45)*(K$4:K$49&lt;&gt;"")*(L$4:L$49&lt;&gt;"")*(K$4:K$49=L$4:L$49)*1,(N$4:N$49=AY46)*(I$4:I$49=BS45)*(K$4:K$49&lt;&gt;"")*(L$4:L$49&lt;&gt;"")*(K$4:K$49&lt;L$4:L$49)*3,(I$4:I$49=AY46)*(N$4:N$49=BS45)*(K$4:K$49&lt;&gt;"")*(L$4:L$49&lt;&gt;"")*(K$4:K$49=L$4:L$49)*1)</f>
        <v>1</v>
      </c>
      <c r="BT46" s="212">
        <v>1</v>
      </c>
      <c r="BU46" s="212">
        <f ca="1">RANK(BW46,$BW$46:$BW$49)</f>
        <v>4</v>
      </c>
      <c r="BV46" s="212" t="str">
        <f ca="1">A45</f>
        <v>Hungría</v>
      </c>
      <c r="BW46" s="212">
        <f ca="1">IF(AK46=0,-($AW$14*VLOOKUP(AI46,Tabla3[[NombreEquipo]:[Rank]],3,FALSE)),AJ46*$AW$4+BA46+AQ46*$AW$11+AO46*$AW$12+AL46*$AW$13-($AW$14*VLOOKUP(AI46,Tabla3[[NombreEquipo]:[Rank]],3,FALSE)/100))</f>
        <v>278656171499.78998</v>
      </c>
      <c r="BX46" s="212" t="str">
        <f ca="1">VLOOKUP(Q46,$AH$46:$AI$49,2,0)</f>
        <v>Francia</v>
      </c>
      <c r="BY46" s="212">
        <f ca="1">VLOOKUP($BX46,$AI$46:$AR$49,10,FALSE)</f>
        <v>695281212099.77002</v>
      </c>
      <c r="CA46" s="212">
        <v>1</v>
      </c>
      <c r="CB46" s="212" t="str">
        <f ca="1">VLOOKUP(CA46,$AH$46:$AI$49,2,0)</f>
        <v>Francia</v>
      </c>
      <c r="CC46" s="212">
        <f ca="1">VLOOKUP(CB46,$AI$46:$AR$49,2,FALSE)</f>
        <v>5</v>
      </c>
      <c r="CD46" s="497">
        <f ca="1">IF(SUM($AK$46:$AK$49)=12,MIN(ABS(BY45-BY46),ABS(BY46-BY47)),100)</f>
        <v>136674999000.01001</v>
      </c>
      <c r="CE46" s="212">
        <f ca="1">VLOOKUP($CB46,$AI$46:$AR$49,9,FALSE)</f>
        <v>1</v>
      </c>
      <c r="CF46" s="212">
        <f ca="1">VLOOKUP($CB46,$AI$46:$AR$49,7,FALSE)</f>
        <v>4</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19"/>
      <c r="F47" s="309">
        <f>Horarios!A47</f>
        <v>44366.75</v>
      </c>
      <c r="G47" s="310">
        <f>Horarios!A47+VLOOKUP($G$2,Horarios!$K$4:$O$27,4,0)*VLOOKUP($G$2,Horarios!$K$4:$O$27,5,0)</f>
        <v>44366.75</v>
      </c>
      <c r="H47" s="309" t="s">
        <v>74</v>
      </c>
      <c r="I47" s="311" t="str">
        <f ca="1">A46</f>
        <v>Portugal</v>
      </c>
      <c r="J47" s="312"/>
      <c r="K47" s="313">
        <v>2</v>
      </c>
      <c r="L47" s="313">
        <v>4</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2274999499.9799805</v>
      </c>
      <c r="AB47" s="123" t="str">
        <f ca="1">IF(AND(AA47&gt;=0,AA47&lt;90),VLOOKUP(Q47,$BU$46:$BV$49,2,0),"")</f>
        <v/>
      </c>
      <c r="AC47" s="97"/>
      <c r="AD47" s="98"/>
      <c r="AE47" s="477"/>
      <c r="AF47" s="488">
        <f ca="1">VLOOKUP($R47,$AI$46:$AR$49,10,FALSE)</f>
        <v>558606213099.76001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556331213599.78003</v>
      </c>
      <c r="AS47" s="487">
        <f ca="1">AH47</f>
        <v>3</v>
      </c>
      <c r="AT47" s="487"/>
      <c r="AU47" s="487">
        <f ca="1">IFERROR(AR47-VLOOKUP(AI47,$AB$46:$AC$49,2,0),AR47)</f>
        <v>556331213599.78003</v>
      </c>
      <c r="AV47" s="487"/>
      <c r="AW47" s="499"/>
      <c r="AX47" s="487"/>
      <c r="AY47" s="496" t="str">
        <f ca="1">AI47</f>
        <v>Portugal</v>
      </c>
      <c r="AZ47" s="487">
        <f ca="1">COUNTIF(AJ46:AJ49,AJ47)</f>
        <v>2</v>
      </c>
      <c r="BA47" s="489">
        <f t="shared" ca="1" si="22"/>
        <v>831200000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-2</v>
      </c>
      <c r="BJ47" s="515">
        <f ca="1">BD47-BE46</f>
        <v>3</v>
      </c>
      <c r="BK47" s="515">
        <v>0</v>
      </c>
      <c r="BL47" s="515">
        <f ca="1">BF47-BE48</f>
        <v>0</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556331213599.78003</v>
      </c>
      <c r="BX47" s="212" t="str">
        <f ca="1">VLOOKUP(Q47,$AH$46:$AI$49,2,0)</f>
        <v>Alemania</v>
      </c>
      <c r="BY47" s="212">
        <f ca="1">VLOOKUP($BX47,$AI$46:$AR$49,10,FALSE)</f>
        <v>558606213099.76001</v>
      </c>
      <c r="CA47" s="212">
        <v>2</v>
      </c>
      <c r="CB47" s="212" t="str">
        <f ca="1">VLOOKUP(CA47,$AH$46:$AI$49,2,0)</f>
        <v>Alemania</v>
      </c>
      <c r="CC47" s="212">
        <f ca="1">VLOOKUP(CB47,$AI$46:$AR$49,2,FALSE)</f>
        <v>4</v>
      </c>
      <c r="CD47" s="497">
        <f ca="1">IF(SUM($AK$46:$AK$49)=12,MIN(ABS(BY46-BY47),ABS(BY47-BY48)),100)</f>
        <v>2274999499.9799805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19"/>
      <c r="F48" s="309">
        <f>Horarios!A48</f>
        <v>44370.875</v>
      </c>
      <c r="G48" s="310">
        <f>Horarios!A48+VLOOKUP($G$2,Horarios!$K$4:$O$27,4,0)*VLOOKUP($G$2,Horarios!$K$4:$O$27,5,0)</f>
        <v>44370.875</v>
      </c>
      <c r="H48" s="309" t="s">
        <v>75</v>
      </c>
      <c r="I48" s="311" t="str">
        <f ca="1">A48</f>
        <v>Alemania</v>
      </c>
      <c r="J48" s="312"/>
      <c r="K48" s="313">
        <v>2</v>
      </c>
      <c r="L48" s="313">
        <v>2</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2274999499.9799805</v>
      </c>
      <c r="AB48" s="123" t="str">
        <f ca="1">IF(AND(AA48&gt;=0,AA48&lt;90),VLOOKUP(Q48,$BU$46:$BV$49,2,0),"")</f>
        <v/>
      </c>
      <c r="AC48" s="97"/>
      <c r="AD48" s="98"/>
      <c r="AE48" s="477"/>
      <c r="AF48" s="488">
        <f ca="1">VLOOKUP($R48,$AI$46:$AR$49,10,FALSE)</f>
        <v>556331213599.78003</v>
      </c>
      <c r="AG48" s="487">
        <f ca="1">RANK(AU48,$AU$46:$AU$49)</f>
        <v>1</v>
      </c>
      <c r="AH48" s="487">
        <f ca="1">RANK(AR48,$AR$46:$AR$49)</f>
        <v>1</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4</v>
      </c>
      <c r="AP48" s="487">
        <f t="array" aca="1" ref="AP48" ca="1">SUMIFS($K$4:$K$49,$N$4:$N$49,AI48,$K$4:$K$49,"&lt;&gt;",$L$4:$L$49,"&lt;&gt;")+SUMIFS($L$4:$L$49,$I$4:$I$49,AI48,$K$4:$K$49,"&lt;&gt;",$L$4:$L$49,"&lt;&gt;")</f>
        <v>3</v>
      </c>
      <c r="AQ48" s="487">
        <f ca="1">AO48-AP48</f>
        <v>1</v>
      </c>
      <c r="AR48" s="487">
        <f ca="1">IF(AK48=0,-($AW$14*VLOOKUP(AI48,Tabla3[[NombreEquipo]:[Rank]],3,FALSE)),AJ48*$AW$4+BA48+AQ48*$AW$11+AO48*$AW$12+AL48*$AW$13-($AW$14*VLOOKUP(AI48,Tabla3[[NombreEquipo]:[Rank]],3,FALSE)/100))</f>
        <v>695281212099.77002</v>
      </c>
      <c r="AS48" s="487">
        <f ca="1">AH48</f>
        <v>1</v>
      </c>
      <c r="AT48" s="487"/>
      <c r="AU48" s="487">
        <f ca="1">IFERROR(AR48-VLOOKUP(AI48,$AB$46:$AC$49,2,0),AR48)</f>
        <v>695281212099.77002</v>
      </c>
      <c r="AV48" s="487"/>
      <c r="AW48" s="499"/>
      <c r="AX48" s="487"/>
      <c r="AY48" s="496" t="str">
        <f ca="1">AI48</f>
        <v>Francia</v>
      </c>
      <c r="AZ48" s="487">
        <f ca="1">COUNTIF(AJ46:AJ49,AJ48)</f>
        <v>1</v>
      </c>
      <c r="BA48" s="489">
        <f t="shared" ca="1" si="22"/>
        <v>906200000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1</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2</v>
      </c>
      <c r="BI48" s="515">
        <f ca="1">SUM(IF(AND(AJ48=AJ49),BM48,0),IF(AND(AJ48=AJ46),BJ48,0),IF(AND(AJ48=AJ47),BK48,0))</f>
        <v>0</v>
      </c>
      <c r="BJ48" s="515">
        <f ca="1">BD48-BF46</f>
        <v>0</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1</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695281212099.77002</v>
      </c>
      <c r="BX48" s="212" t="str">
        <f ca="1">VLOOKUP(Q48,$AH$46:$AI$49,2,0)</f>
        <v>Portugal</v>
      </c>
      <c r="BY48" s="212">
        <f ca="1">VLOOKUP($BX48,$AI$46:$AR$49,10,FALSE)</f>
        <v>556331213599.78003</v>
      </c>
      <c r="CA48" s="212">
        <v>3</v>
      </c>
      <c r="CB48" s="212" t="str">
        <f ca="1">VLOOKUP(CA48,$AH$46:$AI$49,2,0)</f>
        <v>Portugal</v>
      </c>
      <c r="CC48" s="212">
        <f ca="1">VLOOKUP(CB48,$AI$46:$AR$49,2,FALSE)</f>
        <v>4</v>
      </c>
      <c r="CD48" s="497">
        <f ca="1">IF(SUM($AK$46:$AK$49)=12,MIN(ABS(BY47-BY48),ABS(BY48-BY49)),100)</f>
        <v>2274999499.9799805</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2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2</v>
      </c>
      <c r="T49" s="372">
        <f ca="1">VLOOKUP($R49,$AI$46:$AR$49,3,FALSE)</f>
        <v>3</v>
      </c>
      <c r="U49" s="372">
        <f ca="1">VLOOKUP($R49,$AI$46:$AR$49,4,FALSE)</f>
        <v>0</v>
      </c>
      <c r="V49" s="372">
        <f ca="1">VLOOKUP($R49,$AI$46:$AR$49,5,FALSE)</f>
        <v>2</v>
      </c>
      <c r="W49" s="372">
        <f ca="1">VLOOKUP($R49,$AI$46:$AR$49,6,FALSE)</f>
        <v>1</v>
      </c>
      <c r="X49" s="372">
        <f ca="1">VLOOKUP($R49,$AI$46:$AR$49,7,FALSE)</f>
        <v>3</v>
      </c>
      <c r="Y49" s="372">
        <f ca="1">VLOOKUP($R49,$AI$46:$AR$49,8,FALSE)</f>
        <v>6</v>
      </c>
      <c r="Z49" s="373">
        <f ca="1">VLOOKUP($R49,$AI$46:$AR$49,9,FALSE)</f>
        <v>-3</v>
      </c>
      <c r="AA49" s="96">
        <f ca="1">IF(SUM($AK$46:$AK$49)=12,MIN(ABS(BY48-BY49),ABS(BY49-BY50)),100)</f>
        <v>277675042099.99005</v>
      </c>
      <c r="AB49" s="123" t="str">
        <f ca="1">IF(AND(AA49&gt;=0,AA49&lt;90),VLOOKUP(Q49,$BU$46:$BV$49,2,0),"")</f>
        <v/>
      </c>
      <c r="AC49" s="95"/>
      <c r="AD49" s="96"/>
      <c r="AE49" s="476"/>
      <c r="AF49" s="488">
        <f ca="1">VLOOKUP($R49,$AI$46:$AR$49,10,FALSE)</f>
        <v>278656171499.78998</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558606213099.76001</v>
      </c>
      <c r="AS49" s="487">
        <f ca="1">AH49</f>
        <v>2</v>
      </c>
      <c r="AT49" s="487"/>
      <c r="AU49" s="487">
        <f ca="1">IFERROR(AR49-VLOOKUP(AI49,$AB$46:$AC$49,2,0),AR49)</f>
        <v>558606213099.76001</v>
      </c>
      <c r="AV49" s="487"/>
      <c r="AW49" s="499"/>
      <c r="AX49" s="487"/>
      <c r="AY49" s="496" t="str">
        <f ca="1">AI49</f>
        <v>Alemania</v>
      </c>
      <c r="AZ49" s="487">
        <f ca="1">COUNTIF(AJ46:AJ49,AJ49)</f>
        <v>2</v>
      </c>
      <c r="BA49" s="489">
        <f t="shared" ca="1" si="22"/>
        <v>3106200000</v>
      </c>
      <c r="BB49" s="515">
        <f ca="1">RANK(BC49,BC46:BC49,1)</f>
        <v>4</v>
      </c>
      <c r="BC49" s="515">
        <f ca="1">SUM(IF(AND(AJ49=AJ46),BD49,0),IF(AND(AJ49=AJ47),BE49,0),IF(AND(AJ49=AJ48),BF49,0))</f>
        <v>4</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4</v>
      </c>
      <c r="BF49" s="515">
        <f t="array" aca="1" ref="BF49" ca="1">SUMIFS($K$44:$K$49,$I$44:$I$49,$AY49,$K$44:$K$49,"&lt;&gt;",$L$44:$L$49,"&lt;&gt;",$N$44:$N$49,BF45)+SUMIFS($L$44:$L$49,$I$44:$I$49,BF45,$K$44:$K$49,"&lt;&gt;",$L$44:$L$49,"&lt;&gt;",$N$44:$N$49,$AY49)</f>
        <v>0</v>
      </c>
      <c r="BG49" s="515">
        <v>0</v>
      </c>
      <c r="BH49" s="515">
        <f ca="1">RANK(BI49,BI46:BI49,1)</f>
        <v>4</v>
      </c>
      <c r="BI49" s="515">
        <f ca="1">SUM(IF(AND(AJ49=AJ46),BJ49,0),IF(AND(AJ49=AJ47),BK49,0),IF(AND(AJ49=AJ48),BL49,0))</f>
        <v>2</v>
      </c>
      <c r="BJ49" s="515">
        <f ca="1">BD49-BG46</f>
        <v>0</v>
      </c>
      <c r="BK49" s="515">
        <f ca="1">BE49-BG47</f>
        <v>2</v>
      </c>
      <c r="BL49" s="515">
        <f ca="1">BF49-BG48</f>
        <v>-1</v>
      </c>
      <c r="BM49" s="515">
        <v>0</v>
      </c>
      <c r="BN49" s="514">
        <f ca="1">RANK(BO49,BO46:BO49,1)</f>
        <v>4</v>
      </c>
      <c r="BO49" s="514">
        <f ca="1">SUM(IF(AND(AJ49=AJ46),BP49,0),IF(AND(AJ49=AJ47),BQ49,0),IF(AND(AJ49=AJ48),BR49,0))</f>
        <v>3</v>
      </c>
      <c r="BP49" s="514">
        <f t="array" aca="1" ref="BP49" ca="1">SUM((I$4:I$49=AY49)*(N$4:N$49=BP45)*(K$4:K$49&lt;&gt;"")*(L$4:L$49&lt;&gt;"")*(K$4:K$49&gt;L$4:L$49)*3,(N$4:N$49=AY49)*(I$4:I$49=BP45)*(K$4:K$49&lt;&gt;"")*(L$4:L$49&lt;&gt;"")*(K$4:K$49=L$4:L$49)*1,(N$4:N$49=AY49)*(I$4:I$49=BP45)*(K$4:K$49&lt;&gt;"")*(L$4:L$49&lt;&gt;"")*(K$4:K$49&lt;L$4:L$49)*3,(I$4:I$49=AY49)*(N$4:N$49=BP45)*(K$4:K$49&lt;&gt;"")*(L$4:L$49&lt;&gt;"")*(K$4:K$49=L$4:L$49)*1)</f>
        <v>1</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558606213099.76001</v>
      </c>
      <c r="BX49" s="212" t="str">
        <f ca="1">VLOOKUP(Q49,$AH$46:$AI$49,2,0)</f>
        <v>Hungría</v>
      </c>
      <c r="BY49" s="212">
        <f ca="1">VLOOKUP($BX49,$AI$46:$AR$49,10,FALSE)</f>
        <v>278656171499.78998</v>
      </c>
      <c r="CA49" s="212">
        <v>4</v>
      </c>
      <c r="CB49" s="212" t="str">
        <f ca="1">VLOOKUP(CA49,$AH$46:$AI$49,2,0)</f>
        <v>Hungría</v>
      </c>
      <c r="CC49" s="212">
        <f ca="1">VLOOKUP(CB49,$AI$46:$AR$49,2,FALSE)</f>
        <v>2</v>
      </c>
      <c r="CD49" s="497">
        <f ca="1">IF(SUM($AK$46:$AK$49)=12,MIN(ABS(BY48-BY49),ABS(BY49-BY50)),100)</f>
        <v>277675042099.99005</v>
      </c>
      <c r="CE49" s="212">
        <f ca="1">VLOOKUP($CB49,$AI$46:$AR$49,9,FALSE)</f>
        <v>-3</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69" t="str">
        <f ca="1">CONCATENATE("¡EN LA FASE DE GRUPOS HAY EMPATES EN EL GRUPO ,",IF(COUNTIF(AA6:AA9,"&lt;100")=0,"","A, "),IF(COUNTIF(AA14:AA17,"&lt;100")=0,"","B,"),IF(COUNTIF(AA22:AA25,"&lt;100")=0,"","C, "),IF(COUNTIF(AA30:AA33,"&lt;100")=0,"","D, "),IF(COUNTIF(AA38:AA41,"&lt;100")=0,"","E, "),IF(COUNTIF(AA46:AA49,"&lt;100")=0,"","F"),"!")</f>
        <v>¡EN LA FASE DE GRUPOS HAY EMPATES EN EL GRUPO ,!</v>
      </c>
      <c r="G52" s="569"/>
      <c r="H52" s="569"/>
      <c r="I52" s="569"/>
      <c r="J52" s="569"/>
      <c r="K52" s="569"/>
      <c r="L52" s="569"/>
      <c r="M52" s="569"/>
      <c r="N52" s="569"/>
      <c r="O52" s="569"/>
      <c r="P52" s="569"/>
      <c r="Q52" s="569"/>
      <c r="R52" s="569"/>
      <c r="S52" s="569"/>
      <c r="T52" s="569"/>
      <c r="U52" s="569"/>
      <c r="V52" s="569"/>
      <c r="W52" s="569"/>
      <c r="X52" s="569"/>
      <c r="Y52" s="569"/>
      <c r="Z52" s="569"/>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70"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70"/>
      <c r="H53" s="570"/>
      <c r="I53" s="570"/>
      <c r="J53" s="570"/>
      <c r="K53" s="570"/>
      <c r="L53" s="570"/>
      <c r="M53" s="570"/>
      <c r="N53" s="570"/>
      <c r="O53" s="570"/>
      <c r="P53" s="570"/>
      <c r="Q53" s="570"/>
      <c r="R53" s="570"/>
      <c r="S53" s="570"/>
      <c r="T53" s="570"/>
      <c r="U53" s="570"/>
      <c r="V53" s="570"/>
      <c r="W53" s="570"/>
      <c r="X53" s="570"/>
      <c r="Y53" s="570"/>
      <c r="Z53" s="570"/>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25">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1999.9400634765625</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Finlandia</v>
      </c>
      <c r="B58" s="210"/>
      <c r="C58" s="210"/>
      <c r="D58" s="213"/>
      <c r="E58" s="385">
        <v>2</v>
      </c>
      <c r="F58" s="263" t="str">
        <f ca="1">IF(SUM($AK$77:$AK$82)=18,VLOOKUP(E58,$AG$57:$AI$62,3,0),"3B")</f>
        <v>República Checa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2</v>
      </c>
      <c r="N58" s="386">
        <f ca="1">IF(SUM($AK$77:$AK$82)=18,VLOOKUP($F58,$AI$57:$AR$62,9,FALSE),"3B")</f>
        <v>1</v>
      </c>
      <c r="O58" s="96">
        <f t="shared" ca="1" si="72"/>
        <v>1999.9400634765625</v>
      </c>
      <c r="P58" s="123" t="str">
        <f t="shared" ca="1" si="73"/>
        <v/>
      </c>
      <c r="Q58" s="262"/>
      <c r="R58" s="93"/>
      <c r="S58" s="100"/>
      <c r="T58" s="100"/>
      <c r="U58" s="100"/>
      <c r="V58" s="100"/>
      <c r="W58" s="100"/>
      <c r="X58" s="100"/>
      <c r="Y58" s="100"/>
      <c r="Z58" s="100"/>
      <c r="AA58" s="100"/>
      <c r="AB58" s="100"/>
      <c r="AC58" s="100"/>
      <c r="AD58" s="100"/>
      <c r="AE58" s="475"/>
      <c r="AF58" s="488">
        <f t="shared" ca="1" si="74"/>
        <v>555500011599.83997</v>
      </c>
      <c r="AG58" s="487">
        <f t="shared" ca="1" si="75"/>
        <v>5</v>
      </c>
      <c r="AH58" s="487">
        <f t="shared" ca="1" si="76"/>
        <v>5</v>
      </c>
      <c r="AI58" s="212" t="str">
        <f ca="1">IF($AH$76=72,VLOOKUP(3,$AG$14:$AI$17,3,0),"3B")</f>
        <v>Finlandia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3</v>
      </c>
      <c r="AQ58" s="212">
        <f ca="1">IF($AH$76=72,VLOOKUP(3,$AG$14:$AR$17,11,0),0)</f>
        <v>-2</v>
      </c>
      <c r="AR58" s="487">
        <f ca="1">IF(AK58=0,2,AJ58*$AW$4+AQ58*$AW$11+AO58*$AW$12+AL58*$AW$13-($AW$14*VLOOKUP(AI58,Tabla3[[NombreEquipo]:[Rank]],3,FALSE)/100))</f>
        <v>416624980599.94</v>
      </c>
      <c r="AS58" s="487">
        <f t="shared" ca="1" si="77"/>
        <v>5</v>
      </c>
      <c r="AT58" s="487"/>
      <c r="AU58" s="487">
        <f t="shared" ca="1" si="78"/>
        <v>416624980599.94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Finlandia</v>
      </c>
      <c r="BW58" s="212">
        <f ca="1">IF(SUM($AK$14:$AK$17)=12,AJ58*$AW$4+AQ58*$AW$11+AO58*$AW$12+AL58*$AW$13-($AW$14*2/100),"3B")</f>
        <v>416624980599.97998</v>
      </c>
      <c r="BX58" s="212" t="str">
        <f t="shared" ca="1" si="80"/>
        <v>República Checa</v>
      </c>
      <c r="BY58" s="212">
        <f t="shared" ca="1" si="81"/>
        <v>555500011599.83997</v>
      </c>
      <c r="CA58" s="212">
        <v>2</v>
      </c>
      <c r="CB58" s="212" t="str">
        <f t="shared" ca="1" si="82"/>
        <v>República Checa</v>
      </c>
      <c r="CC58" s="212">
        <f t="shared" ca="1" si="83"/>
        <v>4</v>
      </c>
      <c r="CD58" s="497">
        <f t="shared" ca="1" si="84"/>
        <v>1999.9400634765625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19499.880004882813</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4</v>
      </c>
      <c r="AH59" s="487">
        <f t="shared" ca="1" si="76"/>
        <v>4</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5</v>
      </c>
      <c r="AQ59" s="212">
        <f ca="1">IF($AH$76=72,VLOOKUP(3,$AG$22:$AR$25,11,0),0)</f>
        <v>-1</v>
      </c>
      <c r="AR59" s="487">
        <f ca="1">IF(AK59=0,3,AJ59*$AW$4+AQ59*$AW$11+AO59*$AW$12+AL59*$AW$13-($AW$14*VLOOKUP(AI59,Tabla3[[NombreEquipo]:[Rank]],3,FALSE)/100))</f>
        <v>416624992099.90002</v>
      </c>
      <c r="AS59" s="487">
        <f t="shared" ca="1" si="77"/>
        <v>4</v>
      </c>
      <c r="AT59" s="487"/>
      <c r="AU59" s="487">
        <f t="shared" ca="1" si="78"/>
        <v>416624992099.90002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Ucrania</v>
      </c>
      <c r="BW59" s="212">
        <f ca="1">IF(SUM($AK$22:$AK$25)=12,AJ59*$AW$4+AQ59*$AW$11+AO59*$AW$12+AL59*$AW$13-($AW$14*3/100),"3C")</f>
        <v>416624992099.96997</v>
      </c>
      <c r="BX59" s="212" t="str">
        <f t="shared" ca="1" si="80"/>
        <v>Suiza</v>
      </c>
      <c r="BY59" s="212">
        <f t="shared" ca="1" si="81"/>
        <v>555499992099.95996</v>
      </c>
      <c r="CA59" s="212">
        <v>3</v>
      </c>
      <c r="CB59" s="212" t="str">
        <f t="shared" ca="1" si="82"/>
        <v>Suiza</v>
      </c>
      <c r="CC59" s="212">
        <f t="shared" ca="1" si="83"/>
        <v>4</v>
      </c>
      <c r="CD59" s="497">
        <f t="shared" ca="1" si="84"/>
        <v>19499.880004882813</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República Checa</v>
      </c>
      <c r="B60" s="103"/>
      <c r="C60" s="103"/>
      <c r="D60" s="124"/>
      <c r="E60" s="385">
        <v>4</v>
      </c>
      <c r="F60" s="263" t="str">
        <f ca="1">IF(SUM($AK$77:$AK$82)=18,VLOOKUP(E60,$AG$57:$AI$62,3,0),"3D")</f>
        <v>Ucrania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11499.960021972656</v>
      </c>
      <c r="P60" s="123" t="str">
        <f t="shared" ca="1" si="73"/>
        <v/>
      </c>
      <c r="Q60" s="262"/>
      <c r="R60" s="93"/>
      <c r="S60" s="100"/>
      <c r="T60" s="100"/>
      <c r="U60" s="100"/>
      <c r="V60" s="100"/>
      <c r="W60" s="100"/>
      <c r="X60" s="100"/>
      <c r="Y60" s="100"/>
      <c r="Z60" s="100"/>
      <c r="AA60" s="100"/>
      <c r="AB60" s="100"/>
      <c r="AC60" s="100"/>
      <c r="AD60" s="100"/>
      <c r="AE60" s="475"/>
      <c r="AF60" s="488">
        <f t="shared" ca="1" si="74"/>
        <v>416624992099.90002</v>
      </c>
      <c r="AG60" s="487">
        <f t="shared" ca="1" si="75"/>
        <v>2</v>
      </c>
      <c r="AH60" s="487">
        <f t="shared" ca="1" si="76"/>
        <v>2</v>
      </c>
      <c r="AI60" s="212" t="str">
        <f ca="1">IF($AH$76=72,VLOOKUP(3,$AG$30:$AI$33,3,0),"3D")</f>
        <v>República Checa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3</v>
      </c>
      <c r="AP60" s="212">
        <f ca="1">IF($AH$76=72,VLOOKUP(3,$AG$30:$AR$33,10,0),0)</f>
        <v>2</v>
      </c>
      <c r="AQ60" s="212">
        <f ca="1">IF($AH$76=72,VLOOKUP(3,$AG$30:$AR$33,11,0),0)</f>
        <v>1</v>
      </c>
      <c r="AR60" s="487">
        <f ca="1">IF(AK60=0,4,AJ60*$AW$4+AQ60*$AW$11+AO60*$AW$12+AL60*$AW$13-($AW$14*VLOOKUP(AI60,Tabla3[[NombreEquipo]:[Rank]],3,FALSE)/100))</f>
        <v>555500011599.83997</v>
      </c>
      <c r="AS60" s="487">
        <f t="shared" ca="1" si="77"/>
        <v>2</v>
      </c>
      <c r="AT60" s="487"/>
      <c r="AU60" s="487">
        <f t="shared" ca="1" si="78"/>
        <v>555500011599.83997</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República Checa</v>
      </c>
      <c r="BW60" s="487">
        <f ca="1">IF(SUM($AK$30:$AK$33)=12,AJ60*$AW$4+AQ60*$AW$11+AO60*$AW$12+AL60*$AW$13-($AW$14*4/100),"3D")</f>
        <v>555500011599.95996</v>
      </c>
      <c r="BX60" s="212" t="str">
        <f t="shared" ca="1" si="80"/>
        <v>Ucrania</v>
      </c>
      <c r="BY60" s="212">
        <f t="shared" ca="1" si="81"/>
        <v>416624992099.90002</v>
      </c>
      <c r="CA60" s="212">
        <v>4</v>
      </c>
      <c r="CB60" s="212" t="str">
        <f t="shared" ca="1" si="82"/>
        <v>Ucrania</v>
      </c>
      <c r="CC60" s="212">
        <f t="shared" ca="1" si="83"/>
        <v>3</v>
      </c>
      <c r="CD60" s="497">
        <f t="shared" ca="1" si="84"/>
        <v>11499.960021972656</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Eslovaquia</v>
      </c>
      <c r="B61" s="103"/>
      <c r="C61" s="103"/>
      <c r="D61" s="124"/>
      <c r="E61" s="385">
        <v>5</v>
      </c>
      <c r="F61" s="263" t="str">
        <f ca="1">IF(SUM($AK$77:$AK$82)=18,VLOOKUP(E61,$AG$57:$AI$62,3,0),"3E")</f>
        <v>Finlandia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11499.960021972656</v>
      </c>
      <c r="P61" s="123" t="str">
        <f t="shared" ca="1" si="73"/>
        <v/>
      </c>
      <c r="Q61" s="262"/>
      <c r="R61" s="93"/>
      <c r="S61" s="100"/>
      <c r="T61" s="100"/>
      <c r="U61" s="100"/>
      <c r="V61" s="100"/>
      <c r="W61" s="100"/>
      <c r="X61" s="100"/>
      <c r="Y61" s="100"/>
      <c r="Z61" s="100"/>
      <c r="AA61" s="100"/>
      <c r="AB61" s="100"/>
      <c r="AC61" s="100"/>
      <c r="AD61" s="100"/>
      <c r="AE61" s="475"/>
      <c r="AF61" s="488">
        <f t="shared" ca="1" si="74"/>
        <v>416624980599.94</v>
      </c>
      <c r="AG61" s="487">
        <f t="shared" ca="1" si="75"/>
        <v>6</v>
      </c>
      <c r="AH61" s="487">
        <f t="shared" ca="1" si="76"/>
        <v>6</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2</v>
      </c>
      <c r="AP61" s="212">
        <f ca="1">IF($AH$76=72,VLOOKUP(3,$AG$38:$AR$41,10,0),0)</f>
        <v>7</v>
      </c>
      <c r="AQ61" s="212">
        <f ca="1">IF($AH$76=72,VLOOKUP(3,$AG$38:$AR$41,11,0),0)</f>
        <v>-5</v>
      </c>
      <c r="AR61" s="487">
        <f ca="1">IF(AK61=0,5,AJ61*$AW$4+AQ61*$AW$11+AO61*$AW$12+AL61*$AW$13-($AW$14*VLOOKUP(AI61,Tabla3[[NombreEquipo]:[Rank]],3,FALSE)/100))</f>
        <v>416624951099.79999</v>
      </c>
      <c r="AS61" s="487">
        <f t="shared" ca="1" si="77"/>
        <v>6</v>
      </c>
      <c r="AT61" s="487"/>
      <c r="AU61" s="487">
        <f t="shared" ca="1" si="78"/>
        <v>416624951099.79999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Eslovaquia</v>
      </c>
      <c r="BW61" s="212">
        <f ca="1">IF(SUM($AK$38:$AK$41)=12,AJ61*$AW$4+AQ61*$AW$11+AO61*$AW$12+AL61*$AW$13-($AW$14*5/100),"3E")</f>
        <v>416624951099.95001</v>
      </c>
      <c r="BX61" s="212" t="str">
        <f t="shared" ca="1" si="80"/>
        <v>Finlandia</v>
      </c>
      <c r="BY61" s="212">
        <f t="shared" ca="1" si="81"/>
        <v>416624980599.94</v>
      </c>
      <c r="CA61" s="212">
        <v>5</v>
      </c>
      <c r="CB61" s="212" t="str">
        <f t="shared" ca="1" si="82"/>
        <v>Finlandia</v>
      </c>
      <c r="CC61" s="212">
        <f t="shared" ca="1" si="83"/>
        <v>3</v>
      </c>
      <c r="CD61" s="497">
        <f t="shared" ca="1" si="84"/>
        <v>11499.960021972656</v>
      </c>
      <c r="CE61" s="212">
        <f t="shared" ca="1" si="85"/>
        <v>-2</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Eslovaquia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2</v>
      </c>
      <c r="M62" s="398">
        <f ca="1">IF(SUM($AK$77:$AK$82)=18,VLOOKUP($F62,$AI$57:$AR$62,8,FALSE),"3F")</f>
        <v>7</v>
      </c>
      <c r="N62" s="399">
        <f ca="1">IF(SUM($AK$77:$AK$82)=18,VLOOKUP($F62,$AI$57:$AR$62,9,FALSE),"3F")</f>
        <v>-5</v>
      </c>
      <c r="O62" s="96">
        <f ca="1">IF(SUM($AK$57:$AK$62)=18,MIN(ABS(BY61-BY62),ABS(BY62-BY63)),100)</f>
        <v>29500.140014648438</v>
      </c>
      <c r="P62" s="123" t="str">
        <f t="shared" ca="1" si="73"/>
        <v/>
      </c>
      <c r="Q62" s="262"/>
      <c r="R62" s="93"/>
      <c r="S62" s="100"/>
      <c r="T62" s="100"/>
      <c r="U62" s="100"/>
      <c r="V62" s="100"/>
      <c r="W62" s="100"/>
      <c r="X62" s="100"/>
      <c r="Y62" s="100"/>
      <c r="Z62" s="100"/>
      <c r="AA62" s="100"/>
      <c r="AB62" s="100"/>
      <c r="AC62" s="100"/>
      <c r="AD62" s="100"/>
      <c r="AE62" s="475"/>
      <c r="AF62" s="488">
        <f t="shared" ca="1" si="74"/>
        <v>416624951099.79999</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Eslovaquia</v>
      </c>
      <c r="BY62" s="212">
        <f t="shared" ca="1" si="81"/>
        <v>416624951099.79999</v>
      </c>
      <c r="CA62" s="212">
        <v>6</v>
      </c>
      <c r="CB62" s="212" t="str">
        <f t="shared" ca="1" si="82"/>
        <v>Eslovaquia</v>
      </c>
      <c r="CC62" s="212">
        <f t="shared" ca="1" si="83"/>
        <v>3</v>
      </c>
      <c r="CD62" s="497">
        <f t="shared" ca="1" si="84"/>
        <v>29500.140014648438</v>
      </c>
      <c r="CE62" s="212">
        <f t="shared" ca="1" si="85"/>
        <v>-5</v>
      </c>
      <c r="CF62" s="212">
        <f t="shared" ca="1" si="86"/>
        <v>2</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1999.9400634765625</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1999.9400634765625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19499.880004882813</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11499.960021972656</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11499.960021972656</v>
      </c>
      <c r="CE70" s="212">
        <f t="shared" ca="1" si="163"/>
        <v>-2</v>
      </c>
      <c r="CF70" s="212">
        <f t="shared" ca="1" si="164"/>
        <v>1</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29500.140014648438</v>
      </c>
      <c r="CE71" s="212">
        <f t="shared" ca="1" si="163"/>
        <v>-5</v>
      </c>
      <c r="CF71" s="212">
        <f t="shared" ca="1" si="164"/>
        <v>2</v>
      </c>
      <c r="CG71" s="212">
        <f t="shared" ca="1" si="165"/>
        <v>1</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60" t="s">
        <v>167</v>
      </c>
      <c r="F76" s="227">
        <f>Horarios!A66</f>
        <v>44373.75</v>
      </c>
      <c r="G76" s="228">
        <f>Horarios!A66+VLOOKUP($G$2,Horarios!$K$4:$O$27,4,0)*VLOOKUP($G$2,Horarios!$K$4:$O$27,5,0)</f>
        <v>44373.75</v>
      </c>
      <c r="H76" s="229"/>
      <c r="I76" s="230" t="str">
        <f t="array" aca="1" ref="I76" ca="1">IF(SUM(AK6:AK9)=12,VLOOKUP(2,AG6:AI9,3,FALSE),"2A")</f>
        <v>Gales</v>
      </c>
      <c r="J76" s="231"/>
      <c r="K76" s="232">
        <v>2</v>
      </c>
      <c r="L76" s="232">
        <v>1</v>
      </c>
      <c r="M76" s="233"/>
      <c r="N76" s="234" t="str">
        <f t="array" aca="1" ref="N76" ca="1">IF(SUM(AK14:AK17)=12,VLOOKUP(2,AG14:AI17,3,FALSE),"2B")</f>
        <v>Dinamarca</v>
      </c>
      <c r="O76" s="449">
        <f ca="1">IF(N89="W38",0,1)</f>
        <v>1</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63"/>
      <c r="F77" s="214">
        <f>Horarios!A67</f>
        <v>44373.875</v>
      </c>
      <c r="G77" s="215">
        <f>Horarios!A67+VLOOKUP($G$2,Horarios!$K$4:$O$27,4,0)*VLOOKUP($G$2,Horarios!$K$4:$O$27,5,0)</f>
        <v>44373.875</v>
      </c>
      <c r="H77" s="216"/>
      <c r="I77" s="217" t="str">
        <f ca="1">IF(SUM(AK6:AK9)=12,VLOOKUP(1,AG6:AI9,3,FALSE),"1A")</f>
        <v>Italia</v>
      </c>
      <c r="J77" s="218"/>
      <c r="K77" s="257">
        <v>2</v>
      </c>
      <c r="L77" s="257">
        <v>0</v>
      </c>
      <c r="M77" s="218"/>
      <c r="N77" s="235" t="str">
        <f ca="1">IF(SUM(AK22:AK25)=12,VLOOKUP(2,AG22:AI25,3,FALSE),"2C")</f>
        <v>Austria</v>
      </c>
      <c r="O77" s="449">
        <f ca="1">IF(N88="W37",0,1)</f>
        <v>1</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147</v>
      </c>
      <c r="AW77" s="487">
        <f t="shared" ref="AW77:AW91" ca="1" si="168">IF(AV77=$AG$94,1,0)</f>
        <v>0</v>
      </c>
      <c r="AX77" s="487" t="str">
        <f ca="1">AI77</f>
        <v>Suiza</v>
      </c>
      <c r="AY77" s="487" t="str">
        <f ca="1">AI80</f>
        <v>República Checa</v>
      </c>
      <c r="AZ77" s="487" t="str">
        <f ca="1">AI78</f>
        <v>Finlandia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63"/>
      <c r="F78" s="214">
        <f>Horarios!A68</f>
        <v>44374.75</v>
      </c>
      <c r="G78" s="215">
        <f>Horarios!A68+VLOOKUP($G$2,Horarios!$K$4:$O$27,4,0)*VLOOKUP($G$2,Horarios!$K$4:$O$27,5,0)</f>
        <v>44374.75</v>
      </c>
      <c r="H78" s="220"/>
      <c r="I78" s="217" t="str">
        <f t="array" aca="1" ref="I78" ca="1">IF(SUM(AK22:AK25)=12,VLOOKUP(1,AG22:AI25,3,FALSE),"1C")</f>
        <v>Países Bajos</v>
      </c>
      <c r="J78" s="218"/>
      <c r="K78" s="257">
        <v>2</v>
      </c>
      <c r="L78" s="257">
        <v>0</v>
      </c>
      <c r="M78" s="218"/>
      <c r="N78" s="235" t="str">
        <f t="array" aca="1" ref="N78" ca="1">IF(SUM(AK77:AK82)=18,VLOOKUP(1,AW77:BA91,3,FALSE),"3D/E/F")</f>
        <v>República Checa</v>
      </c>
      <c r="O78" s="449">
        <f ca="1">IF(I89="W40",0,1)</f>
        <v>1</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Finlandia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3</v>
      </c>
      <c r="AQ78" s="487">
        <f ca="1">IF($AH$76=72,VLOOKUP(3,$AG$14:$AR$17,11,FALSE),"3B")</f>
        <v>-2</v>
      </c>
      <c r="AR78" s="487">
        <f ca="1">IF($AH$76=72,VLOOKUP(AI78,$AI$57:$AU$62,13,FALSE),"3B")</f>
        <v>416624980599.94</v>
      </c>
      <c r="AS78" s="487">
        <f t="shared" ca="1" si="167"/>
        <v>5</v>
      </c>
      <c r="AU78" s="487"/>
      <c r="AV78" s="487" t="s">
        <v>148</v>
      </c>
      <c r="AW78" s="487">
        <f t="shared" ca="1" si="168"/>
        <v>0</v>
      </c>
      <c r="AX78" s="487" t="str">
        <f ca="1">AI77</f>
        <v>Suiza</v>
      </c>
      <c r="AY78" s="487" t="str">
        <f ca="1">AI81</f>
        <v>Eslovaquia</v>
      </c>
      <c r="AZ78" s="487" t="str">
        <f ca="1">AI78</f>
        <v>Finlandia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63"/>
      <c r="F79" s="214">
        <f>Horarios!A69</f>
        <v>44374.875</v>
      </c>
      <c r="G79" s="215">
        <f>Horarios!A69+VLOOKUP($G$2,Horarios!$K$4:$O$27,4,0)*VLOOKUP($G$2,Horarios!$K$4:$O$27,5,0)</f>
        <v>44374.875</v>
      </c>
      <c r="H79" s="220"/>
      <c r="I79" s="260" t="str">
        <f ca="1">IF(SUM(AK14:AK17)=12,VLOOKUP(1,AG14:AI17,3,FALSE),"1B")</f>
        <v>Bélgica</v>
      </c>
      <c r="J79" s="218"/>
      <c r="K79" s="257">
        <v>2</v>
      </c>
      <c r="L79" s="257">
        <v>1</v>
      </c>
      <c r="M79" s="218"/>
      <c r="N79" s="256" t="str">
        <f ca="1">IF(SUM(AK77:AK82)=18,VLOOKUP(1,AW77:BA91,2,FALSE),"3A/D/E/F")</f>
        <v>Portugal</v>
      </c>
      <c r="O79" s="449">
        <f ca="1">IF(I88="W39",0,1)</f>
        <v>1</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5</v>
      </c>
      <c r="AQ79" s="487">
        <f ca="1">IF($AH$76=72,VLOOKUP(3,$AG$22:$AR$25,11,FALSE),"3C")</f>
        <v>-1</v>
      </c>
      <c r="AR79" s="487">
        <f ca="1">IF($AH$76=72,VLOOKUP(AI79,$AI$57:$AU$62,13,FALSE),"3C")</f>
        <v>416624992099.90002</v>
      </c>
      <c r="AS79" s="487">
        <f t="shared" ca="1" si="167"/>
        <v>4</v>
      </c>
      <c r="AU79" s="487"/>
      <c r="AV79" s="487" t="s">
        <v>149</v>
      </c>
      <c r="AW79" s="487">
        <f t="shared" ca="1" si="168"/>
        <v>0</v>
      </c>
      <c r="AX79" s="487" t="str">
        <f ca="1">AI77</f>
        <v>Suiza</v>
      </c>
      <c r="AY79" s="487" t="str">
        <f ca="1">AI82</f>
        <v>Portugal</v>
      </c>
      <c r="AZ79" s="487" t="str">
        <f ca="1">AI78</f>
        <v>Finlandia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63"/>
      <c r="F80" s="214">
        <f>Horarios!A70</f>
        <v>44375.75</v>
      </c>
      <c r="G80" s="261">
        <f>Horarios!A70+VLOOKUP($G$2,Horarios!$K$4:$O$27,4,0)*VLOOKUP($G$2,Horarios!$K$4:$O$27,5,0)</f>
        <v>44375.75</v>
      </c>
      <c r="H80" s="216"/>
      <c r="I80" s="217" t="str">
        <f ca="1">IF(SUM(AK30:AK33)=12,VLOOKUP(2,AG30:AI33,3,FALSE),"2D")</f>
        <v>Croacia</v>
      </c>
      <c r="J80" s="259">
        <v>1</v>
      </c>
      <c r="K80" s="257">
        <v>1</v>
      </c>
      <c r="L80" s="257">
        <v>1</v>
      </c>
      <c r="M80" s="258">
        <v>2</v>
      </c>
      <c r="N80" s="235" t="str">
        <f ca="1">IF(SUM(AK38:AK41)=12,VLOOKUP(2,AG38:AI41,3,FALSE),"2E")</f>
        <v>España</v>
      </c>
      <c r="O80" s="449">
        <f ca="1">IF(N87="W42",0,1)</f>
        <v>1</v>
      </c>
      <c r="P80" s="417">
        <v>42</v>
      </c>
      <c r="Q80" s="93"/>
      <c r="R80" s="93"/>
      <c r="S80" s="100"/>
      <c r="T80" s="100"/>
      <c r="U80" s="100"/>
      <c r="V80" s="100"/>
      <c r="W80" s="100"/>
      <c r="X80" s="100"/>
      <c r="Y80" s="100"/>
      <c r="Z80" s="100"/>
      <c r="AA80" s="100"/>
      <c r="AB80" s="100"/>
      <c r="AC80" s="100"/>
      <c r="AD80" s="100"/>
      <c r="AE80" s="475"/>
      <c r="AF80" s="488"/>
      <c r="AG80" s="487">
        <f t="shared" ca="1" si="166"/>
        <v>2</v>
      </c>
      <c r="AH80" s="212" t="s">
        <v>128</v>
      </c>
      <c r="AI80" s="487" t="str">
        <f ca="1">IF($AH$76=72,VLOOKUP(3,$AG$30:$AR$33,3,FALSE),"3D")</f>
        <v>República Checa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3</v>
      </c>
      <c r="AP80" s="487">
        <f ca="1">IF($AH$76=72,VLOOKUP(3,$AG$30:$AR$33,10,FALSE),"3D")</f>
        <v>2</v>
      </c>
      <c r="AQ80" s="487">
        <f ca="1">IF($AH$76=72,VLOOKUP(3,$AG$30:$AR$33,11,FALSE),"3D")</f>
        <v>1</v>
      </c>
      <c r="AR80" s="487">
        <f ca="1">IF($AH$76=72,VLOOKUP(AI80,$AI$57:$AU$62,13,FALSE),"3D")</f>
        <v>555500011599.83997</v>
      </c>
      <c r="AS80" s="487">
        <f t="shared" ca="1" si="167"/>
        <v>2</v>
      </c>
      <c r="AU80" s="487"/>
      <c r="AV80" s="487" t="s">
        <v>150</v>
      </c>
      <c r="AW80" s="487">
        <f t="shared" ca="1" si="168"/>
        <v>0</v>
      </c>
      <c r="AX80" s="487" t="str">
        <f ca="1">AI80</f>
        <v>República Checa</v>
      </c>
      <c r="AY80" s="487" t="str">
        <f ca="1">AI81</f>
        <v>Eslovaquia</v>
      </c>
      <c r="AZ80" s="487" t="str">
        <f ca="1">AI77</f>
        <v>Suiza</v>
      </c>
      <c r="BA80" s="487" t="str">
        <f ca="1">AI78</f>
        <v>Finlandia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25">
      <c r="A81" s="103"/>
      <c r="B81" s="103"/>
      <c r="C81" s="103"/>
      <c r="D81" s="124"/>
      <c r="E81" s="563"/>
      <c r="F81" s="214">
        <f>Horarios!A71</f>
        <v>44375.875</v>
      </c>
      <c r="G81" s="215">
        <f>Horarios!A71+VLOOKUP($G$2,Horarios!$K$4:$O$27,4,0)*VLOOKUP($G$2,Horarios!$K$4:$O$27,5,0)</f>
        <v>44375.875</v>
      </c>
      <c r="H81" s="216"/>
      <c r="I81" s="217" t="str">
        <f ca="1">IF(SUM(AK46:AK49)=12,VLOOKUP(1,AG46:AI49,3,FALSE),"1F")</f>
        <v>Francia</v>
      </c>
      <c r="J81" s="218"/>
      <c r="K81" s="219">
        <v>2</v>
      </c>
      <c r="L81" s="219">
        <v>0</v>
      </c>
      <c r="M81" s="218"/>
      <c r="N81" s="235" t="str">
        <f ca="1">IF(SUM(AK77:AK82)=18,VLOOKUP(1,AW77:BA91,5,FALSE),"3A/B/C")</f>
        <v>Suiza</v>
      </c>
      <c r="O81" s="449">
        <f ca="1">IF(I87="W41",0,1)</f>
        <v>1</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2</v>
      </c>
      <c r="AP81" s="487">
        <f ca="1">IF($AH$76=72,VLOOKUP(3,$AG$38:$AR$41,10,FALSE),"3E")</f>
        <v>7</v>
      </c>
      <c r="AQ81" s="487">
        <f ca="1">IF($AH$76=72,VLOOKUP(3,$AG$38:$AR$41,11,FALSE),"3E")</f>
        <v>-5</v>
      </c>
      <c r="AR81" s="487">
        <f ca="1">IF($AH$76=72,VLOOKUP(AI81,$AI$57:$AU$62,13,FALSE),"3E")</f>
        <v>416624951099.79999</v>
      </c>
      <c r="AS81" s="487">
        <f t="shared" ca="1" si="167"/>
        <v>6</v>
      </c>
      <c r="AU81" s="487"/>
      <c r="AV81" s="487" t="s">
        <v>151</v>
      </c>
      <c r="AW81" s="487">
        <f t="shared" ca="1" si="168"/>
        <v>0</v>
      </c>
      <c r="AX81" s="487" t="str">
        <f ca="1">AI80</f>
        <v>República Checa</v>
      </c>
      <c r="AY81" s="487" t="str">
        <f ca="1">AI82</f>
        <v>Portugal</v>
      </c>
      <c r="AZ81" s="487" t="str">
        <f ca="1">AI77</f>
        <v>Suiza</v>
      </c>
      <c r="BA81" s="487" t="str">
        <f ca="1">AI78</f>
        <v>Finlandia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63"/>
      <c r="F82" s="214">
        <f>Horarios!A72</f>
        <v>44376.75</v>
      </c>
      <c r="G82" s="215">
        <f>Horarios!A72+VLOOKUP($G$2,Horarios!$K$4:$O$27,4,0)*VLOOKUP($G$2,Horarios!$K$4:$O$27,5,0)</f>
        <v>44376.75</v>
      </c>
      <c r="H82" s="220"/>
      <c r="I82" s="217" t="str">
        <f ca="1">IF(SUM(AK30:AK33)=12,VLOOKUP(1,AG30:AI33,3,FALSE),"1D")</f>
        <v>Inglaterra</v>
      </c>
      <c r="J82" s="218"/>
      <c r="K82" s="219">
        <v>1</v>
      </c>
      <c r="L82" s="219">
        <v>2</v>
      </c>
      <c r="M82" s="218"/>
      <c r="N82" s="235" t="str">
        <f ca="1">IF(SUM(AK46:AK49)=12,VLOOKUP(2,AG46:AI49,3,FALSE),"2F")</f>
        <v>Alemania</v>
      </c>
      <c r="O82" s="449">
        <f ca="1">IF(N90="W44",0,1)</f>
        <v>1</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152</v>
      </c>
      <c r="AW82" s="487">
        <f t="shared" ca="1" si="168"/>
        <v>0</v>
      </c>
      <c r="AX82" s="487" t="str">
        <f ca="1">AI81</f>
        <v>Eslovaquia</v>
      </c>
      <c r="AY82" s="487" t="str">
        <f ca="1">AI82</f>
        <v>Portugal</v>
      </c>
      <c r="AZ82" s="487" t="str">
        <f ca="1">AI78</f>
        <v>Finlandia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
      <c r="A83" s="103"/>
      <c r="B83" s="103"/>
      <c r="C83" s="103"/>
      <c r="D83" s="124"/>
      <c r="E83" s="564"/>
      <c r="F83" s="236">
        <f>Horarios!A73</f>
        <v>44376.875</v>
      </c>
      <c r="G83" s="237">
        <f>Horarios!A73+VLOOKUP($G$2,Horarios!$K$4:$O$27,4,0)*VLOOKUP($G$2,Horarios!$K$4:$O$27,5,0)</f>
        <v>44376.875</v>
      </c>
      <c r="H83" s="238"/>
      <c r="I83" s="239" t="str">
        <f ca="1">IF(SUM(AK38:AK41)=12,VLOOKUP(1,AG38:AI41,3,FALSE),"1E")</f>
        <v>Suecia</v>
      </c>
      <c r="J83" s="240"/>
      <c r="K83" s="241">
        <v>3</v>
      </c>
      <c r="L83" s="241">
        <v>1</v>
      </c>
      <c r="M83" s="240"/>
      <c r="N83" s="242" t="str">
        <f ca="1">IF(SUM(AK77:AK82)=18,VLOOKUP(1,AW77:BA91,4,FALSE),"3A/B/C/D")</f>
        <v>Ucrania</v>
      </c>
      <c r="O83" s="449">
        <f ca="1">IF(I90="W43",0,1)</f>
        <v>1</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1</v>
      </c>
      <c r="AX84" s="212" t="str">
        <f ca="1">AI82</f>
        <v>Portugal</v>
      </c>
      <c r="AY84" s="212" t="str">
        <f ca="1">AI80</f>
        <v>República Checa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25">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República Checa</v>
      </c>
      <c r="AI85" s="212" t="str">
        <f ca="1">IFERROR(VLOOKUP(AG85,$AG$77:$AI$82,2,),"Grupo")</f>
        <v>D</v>
      </c>
      <c r="AJ85" s="212">
        <f ca="1">COUNTIF($AI$84:$AI$87,"&lt;="&amp;AI85)</f>
        <v>3</v>
      </c>
      <c r="AV85" s="487" t="s">
        <v>155</v>
      </c>
      <c r="AW85" s="487">
        <f t="shared" ca="1" si="168"/>
        <v>0</v>
      </c>
      <c r="AX85" s="212" t="str">
        <f ca="1">AI81</f>
        <v>Eslovaquia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Eslovaquia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25">
      <c r="A87" s="103"/>
      <c r="B87" s="103"/>
      <c r="C87" s="103"/>
      <c r="D87" s="124"/>
      <c r="E87" s="560" t="s">
        <v>83</v>
      </c>
      <c r="F87" s="227">
        <f>Horarios!A78</f>
        <v>44379.75</v>
      </c>
      <c r="G87" s="228">
        <f>Horarios!A78+VLOOKUP($G$2,Horarios!$K$4:$O$27,4,0)*VLOOKUP($G$2,Horarios!$K$4:$O$27,5,0)</f>
        <v>44379.75</v>
      </c>
      <c r="H87" s="229"/>
      <c r="I87" s="230" t="str">
        <f ca="1">IF(AND(OR(K81="",L81="")),"W41",IF(K81&gt;L81,I81,IF(K81&lt;L81,N81,IF(AND(K81=L81,J81=M81),"W41",IF(AND(K81=L81,OR(J81="",M81="")),"W41",IF(AND(K81=L81,J81&gt;M81),I81,N81))))))</f>
        <v>Francia</v>
      </c>
      <c r="J87" s="231"/>
      <c r="K87" s="232"/>
      <c r="L87" s="232"/>
      <c r="M87" s="233"/>
      <c r="N87" s="234" t="str">
        <f ca="1">IF(AND(OR(K80="",L80="")),"W42",IF(K80&gt;L80,I80,IF(K80&lt;L80,N80,IF(AND(K80=L80,J80=M80),"W42",IF(AND(K80=L80,OR(J80="",M80="")),"W42",IF(AND(K80=L80,J80&gt;M80),I80,N80))))))</f>
        <v>España</v>
      </c>
      <c r="O87" s="449">
        <f>IF(N93="W45",0,1)</f>
        <v>0</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Ucrania</v>
      </c>
      <c r="AI87" s="212" t="str">
        <f ca="1">IFERROR(VLOOKUP(AG87,$AG$77:$AI$82,2,),"Grupo")</f>
        <v>C</v>
      </c>
      <c r="AJ87" s="212">
        <f ca="1">COUNTIF($AI$84:$AI$87,"&lt;="&amp;AI87)</f>
        <v>2</v>
      </c>
      <c r="AV87" s="487" t="s">
        <v>157</v>
      </c>
      <c r="AW87" s="487">
        <f t="shared" ca="1" si="168"/>
        <v>0</v>
      </c>
      <c r="AX87" s="212" t="str">
        <f ca="1">AI81</f>
        <v>Eslovaquia</v>
      </c>
      <c r="AY87" s="212" t="str">
        <f ca="1">AI80</f>
        <v>República Checa</v>
      </c>
      <c r="AZ87" s="212" t="str">
        <f ca="1">AI78</f>
        <v>Finlandia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25">
      <c r="A88" s="103"/>
      <c r="B88" s="103"/>
      <c r="C88" s="103"/>
      <c r="D88" s="124"/>
      <c r="E88" s="561"/>
      <c r="F88" s="214">
        <f>Horarios!A79</f>
        <v>44379.875</v>
      </c>
      <c r="G88" s="215">
        <f>Horarios!A79+VLOOKUP($G$2,Horarios!$K$4:$O$27,4,0)*VLOOKUP($G$2,Horarios!$K$4:$O$27,5,0)</f>
        <v>44379.875</v>
      </c>
      <c r="H88" s="216"/>
      <c r="I88" s="217" t="str">
        <f ca="1">IF(AND(OR(K79="",L79="")),"W39",IF(K79&gt;L79,I79,IF(K79&lt;L79,N79,IF(AND(K79=L79,J79=M79),"W39",IF(AND(K79=L79,OR(J79="",M79="")),"W39",IF(AND(K79=L79,J79&gt;M79),I79,N79))))))</f>
        <v>Bélgica</v>
      </c>
      <c r="J88" s="218"/>
      <c r="K88" s="219"/>
      <c r="L88" s="219"/>
      <c r="M88" s="218"/>
      <c r="N88" s="235" t="str">
        <f ca="1">IF(AND(OR(K77="",L77="")),"W37",IF(K77&gt;L77,I77,IF(K77&lt;L77,N77,IF(AND(K77=L77,J77=M77),"W37",IF(AND(K77=L77,OR(J77="",M77="")),"W37",IF(AND(K77=L77,J77&gt;M77),I77,N77))))))</f>
        <v>Italia</v>
      </c>
      <c r="O88" s="449">
        <f>IF(I93="W46",0,1)</f>
        <v>0</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Ucrania</v>
      </c>
      <c r="BA88" s="212" t="str">
        <f ca="1">AI78</f>
        <v>Finlandia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25">
      <c r="A89" s="103"/>
      <c r="B89" s="103"/>
      <c r="C89" s="103"/>
      <c r="D89" s="124"/>
      <c r="E89" s="561"/>
      <c r="F89" s="214">
        <f>Horarios!A80</f>
        <v>44380.75</v>
      </c>
      <c r="G89" s="215">
        <f>Horarios!A80+VLOOKUP($G$2,Horarios!$K$4:$O$27,4,0)*VLOOKUP($G$2,Horarios!$K$4:$O$27,5,0)</f>
        <v>44380.75</v>
      </c>
      <c r="H89" s="220"/>
      <c r="I89" s="217" t="str">
        <f ca="1">IF(AND(OR(K78="",L78="")),"W40",IF(K78&gt;L78,I78,IF(K78&lt;L78,N78,IF(AND(K78=L78,J78=M78),"W40",IF(AND(K78=L78,OR(J78="",M78="")),"W40",IF(AND(K78=L78,J78&gt;M78),I78,N78))))))</f>
        <v>Países Bajos</v>
      </c>
      <c r="J89" s="218"/>
      <c r="K89" s="219"/>
      <c r="L89" s="219"/>
      <c r="M89" s="218"/>
      <c r="N89" s="235" t="str">
        <f ca="1">IF(AND(OR(K76="",L76="")),"W38",IF(K76&gt;L76,I76,IF(K76&lt;L76,N76,IF(AND(K76=L76,J76=M76),"W38",IF(AND(K76=L76,OR(J76="",M76="")),"W38",IF(AND(K76=L76,J76&gt;M76),I76,N76))))))</f>
        <v>Gales</v>
      </c>
      <c r="O89" s="449">
        <f>IF(N94="W47",0,1)</f>
        <v>0</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Ucrania</v>
      </c>
      <c r="BA89" s="212" t="str">
        <f ca="1">AI78</f>
        <v>Finlandia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62"/>
      <c r="F90" s="236">
        <f>Horarios!A81</f>
        <v>44380.875</v>
      </c>
      <c r="G90" s="237">
        <f>Horarios!A81+VLOOKUP($G$2,Horarios!$K$4:$O$27,4,0)*VLOOKUP($G$2,Horarios!$K$4:$O$27,5,0)</f>
        <v>44380.875</v>
      </c>
      <c r="H90" s="238"/>
      <c r="I90" s="239" t="str">
        <f ca="1">IF(AND(OR(K83="",L83="")),"W43",IF(K83&gt;L83,I83,IF(K83&lt;L83,N83,IF(AND(K83=L83,J83=M83),"W43",IF(AND(K83=L83,OR(J83="",M83="")),"W43",IF(AND(K83=L83,J83&gt;M83),I83,N83))))))</f>
        <v>Suecia</v>
      </c>
      <c r="J90" s="240"/>
      <c r="K90" s="241"/>
      <c r="L90" s="241"/>
      <c r="M90" s="240"/>
      <c r="N90" s="242" t="str">
        <f ca="1">IF(AND(OR(K82="",L82="")),"W44",IF(K82&gt;L82,I82,IF(K82&lt;L82,N82,IF(AND(K82=L82,J82=M82),"W44",IF(AND(K82=L82,OR(J82="",M82="")),"W44",IF(AND(K82=L82,J82&gt;M82),I82,N82))))))</f>
        <v>Alemania</v>
      </c>
      <c r="O90" s="449">
        <f>IF(I94="W48",0,1)</f>
        <v>0</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Eslovaquia</v>
      </c>
      <c r="AZ90" s="212" t="str">
        <f ca="1">AI80</f>
        <v>República Checa</v>
      </c>
      <c r="BA90" s="212" t="str">
        <f ca="1">AI78</f>
        <v>Finlandia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58" t="s">
        <v>84</v>
      </c>
      <c r="F93" s="227">
        <f>Horarios!A84</f>
        <v>44383.875</v>
      </c>
      <c r="G93" s="228">
        <f>Horarios!A84+VLOOKUP($G$2,Horarios!$K$4:$O$27,4,0)*VLOOKUP($G$2,Horarios!$K$4:$O$27,5,0)</f>
        <v>44383.875</v>
      </c>
      <c r="H93" s="243"/>
      <c r="I93" s="230" t="str">
        <f>IF(AND(OR(K88="",L88="")),"W46",IF(K88&gt;L88,I88,IF(K88&lt;L88,N88,IF(AND(K88=L88,J88=M88),"W46",IF(AND(K88=L88,OR(J88="",M88="")),"WC46",IF(AND(K88=L88,J88&gt;M88),I88,N88))))))</f>
        <v>W46</v>
      </c>
      <c r="J93" s="244"/>
      <c r="K93" s="245"/>
      <c r="L93" s="245"/>
      <c r="M93" s="244"/>
      <c r="N93" s="246" t="str">
        <f>IF(AND(OR(K87="",L87="")),"W45",IF(K87&gt;L87,I87,IF(K87&lt;L87,N87,IF(AND(K87=L87,J87=M87),"W45",IF(AND(K87=L87,OR(J87="",M87="")),"W45",IF(AND(K87=L87,J87&gt;M87),I87,N87))))))</f>
        <v>W45</v>
      </c>
      <c r="O93" s="449">
        <f>IF(I97="W49",0,1)</f>
        <v>0</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59"/>
      <c r="F94" s="247">
        <f>Horarios!A85</f>
        <v>44384.875</v>
      </c>
      <c r="G94" s="248">
        <f>Horarios!A85+VLOOKUP($G$2,Horarios!$K$4:$O$27,4,0)*VLOOKUP($G$2,Horarios!$K$4:$O$27,5,0)</f>
        <v>44384.875</v>
      </c>
      <c r="H94" s="236"/>
      <c r="I94" s="239" t="str">
        <f>IF(AND(OR(K90="",L90="")),"W48",IF(K90&gt;L90,I90,IF(K90&lt;L90,N90,IF(AND(K90=L90,J90=M90),"W48",IF(AND(K90=L90,OR(J90="",M90="")),"W48",IF(AND(K90=L90,J90&gt;M90),I90,N90))))))</f>
        <v>W48</v>
      </c>
      <c r="J94" s="249"/>
      <c r="K94" s="250"/>
      <c r="L94" s="250"/>
      <c r="M94" s="249"/>
      <c r="N94" s="251" t="str">
        <f>IF(AND(OR(K89="",L89="")),"W47",IF(K89&gt;L89,I89,IF(K89&lt;L89,N89,IF(AND(K89=L89,J89=M89),"W47",IF(AND(K89=L89,OR(J89="",M89="")),"W47",IF(AND(K89=L89,J89&gt;M89),I89,N89))))))</f>
        <v>W47</v>
      </c>
      <c r="O94" s="449">
        <f>IF(N97="W50",0,1)</f>
        <v>0</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IF(AND(OR(K93="",L93="")),"W49",IF(K93&gt;L93,I93,IF(K93&lt;L93,N93,IF(AND(K93=L93,J93=M93),"W49",IF(AND(K93=L93,OR(J93="",M93="")),"W49",IF(AND(K93=L93,J93&gt;M93),I93,N93))))))</f>
        <v>W49</v>
      </c>
      <c r="J97" s="207"/>
      <c r="K97" s="208"/>
      <c r="L97" s="208"/>
      <c r="M97" s="207"/>
      <c r="N97" s="209" t="str">
        <f>IF(AND(OR(K94="",L94="")),"W50",IF(K94&gt;L94,I94,IF(K94&lt;L94,N94,IF(AND(K94=L94,J94=M94),"W50",IF(AND(K94=L94,OR(J94="",M94="")),"W50",IF(AND(K94=L94,J94&gt;M94),I94,N94))))))</f>
        <v>W50</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43" t="str">
        <f>IF(AND(OR(K97="",L97="")),"WF",IF(K97&gt;L97,I97,IF(K97&lt;L97,N97,IF(AND(K97=L97,J97=M97),"WF",IF(AND(K97=L97,OR(J97="",M97="")),"WF",IF(AND(K97=L97,J97&gt;M97),I97,N97))))))</f>
        <v>WF</v>
      </c>
      <c r="J100" s="544"/>
      <c r="K100" s="544"/>
      <c r="L100" s="544"/>
      <c r="M100" s="544"/>
      <c r="N100" s="545"/>
      <c r="O100" s="184">
        <f>IF(I100="WF",0,1)</f>
        <v>0</v>
      </c>
      <c r="P100" s="89"/>
      <c r="Q100" s="528" t="str">
        <f ca="1">IF(SUM(COUNTIF(O4:O49,0),COUNTIF(O76:O108,0)&gt;0),"PORRA INCOMPLETA:","PORRA COMPLETA:")</f>
        <v>PORRA INCOMPLETA:</v>
      </c>
      <c r="R100" s="529"/>
      <c r="S100" s="529"/>
      <c r="T100" s="529"/>
      <c r="U100" s="529"/>
      <c r="V100" s="529"/>
      <c r="W100" s="529"/>
      <c r="X100" s="529"/>
      <c r="Y100" s="529"/>
      <c r="Z100" s="529"/>
      <c r="AA100" s="530"/>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46" t="str">
        <f>IF(AND(OR(K97="",L97="")),"LF",IF(K97&gt;L97,N97,IF(K97&lt;L97,I97,IF(AND(K97=L97,J97=M97),"LF",IF(AND(K97=L97,OR(J97="",M97="")),"LF",IF(AND(K97=L97,J97&gt;M97),N97,I97))))))</f>
        <v>LF</v>
      </c>
      <c r="J101" s="547"/>
      <c r="K101" s="547"/>
      <c r="L101" s="547"/>
      <c r="M101" s="547"/>
      <c r="N101" s="548"/>
      <c r="O101" s="184">
        <f>IF(I101="LF",0,1)</f>
        <v>0</v>
      </c>
      <c r="P101" s="89"/>
      <c r="Q101" s="531"/>
      <c r="R101" s="532"/>
      <c r="S101" s="532"/>
      <c r="T101" s="532"/>
      <c r="U101" s="532"/>
      <c r="V101" s="532"/>
      <c r="W101" s="532"/>
      <c r="X101" s="532"/>
      <c r="Y101" s="532"/>
      <c r="Z101" s="532"/>
      <c r="AA101" s="533"/>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1"/>
      <c r="R102" s="532"/>
      <c r="S102" s="532"/>
      <c r="T102" s="532"/>
      <c r="U102" s="532"/>
      <c r="V102" s="532"/>
      <c r="W102" s="532"/>
      <c r="X102" s="532"/>
      <c r="Y102" s="532"/>
      <c r="Z102" s="532"/>
      <c r="AA102" s="533"/>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34" t="str">
        <f ca="1">IF(SUM(COUNTIF(O4:O49,0),COUNTIF(O76:O108,0)&gt;0),"Aún falta alguna apuesta","Guarda el archivo y reenvíanoslo por email")</f>
        <v>Aún falta alguna apuesta</v>
      </c>
      <c r="R103" s="535"/>
      <c r="S103" s="535"/>
      <c r="T103" s="535"/>
      <c r="U103" s="535"/>
      <c r="V103" s="535"/>
      <c r="W103" s="535"/>
      <c r="X103" s="535"/>
      <c r="Y103" s="535"/>
      <c r="Z103" s="535"/>
      <c r="AA103" s="536"/>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92</v>
      </c>
      <c r="F104" s="223"/>
      <c r="G104" s="223"/>
      <c r="H104" s="224"/>
      <c r="I104" s="552" t="s">
        <v>40</v>
      </c>
      <c r="J104" s="553"/>
      <c r="K104" s="553"/>
      <c r="L104" s="553"/>
      <c r="M104" s="553"/>
      <c r="N104" s="554"/>
      <c r="O104" s="184">
        <f>IF(I104="Escribe un Jugador",0,IF(I104="",0,1))</f>
        <v>0</v>
      </c>
      <c r="P104" s="89"/>
      <c r="Q104" s="534"/>
      <c r="R104" s="535"/>
      <c r="S104" s="535"/>
      <c r="T104" s="535"/>
      <c r="U104" s="535"/>
      <c r="V104" s="535"/>
      <c r="W104" s="535"/>
      <c r="X104" s="535"/>
      <c r="Y104" s="535"/>
      <c r="Z104" s="535"/>
      <c r="AA104" s="536"/>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94</v>
      </c>
      <c r="F105" s="221"/>
      <c r="G105" s="221"/>
      <c r="H105" s="222"/>
      <c r="I105" s="549" t="s">
        <v>40</v>
      </c>
      <c r="J105" s="550"/>
      <c r="K105" s="550"/>
      <c r="L105" s="550"/>
      <c r="M105" s="550"/>
      <c r="N105" s="551"/>
      <c r="O105" s="184">
        <f t="shared" ref="O105:O106" si="169">IF(I105="Escribe un Jugador",0,IF(I105="",0,1))</f>
        <v>0</v>
      </c>
      <c r="P105" s="89"/>
      <c r="Q105" s="537"/>
      <c r="R105" s="538"/>
      <c r="S105" s="538"/>
      <c r="T105" s="538"/>
      <c r="U105" s="538"/>
      <c r="V105" s="538"/>
      <c r="W105" s="538"/>
      <c r="X105" s="538"/>
      <c r="Y105" s="538"/>
      <c r="Z105" s="538"/>
      <c r="AA105" s="539"/>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93</v>
      </c>
      <c r="F106" s="225"/>
      <c r="G106" s="225"/>
      <c r="H106" s="226"/>
      <c r="I106" s="555" t="s">
        <v>40</v>
      </c>
      <c r="J106" s="556"/>
      <c r="K106" s="556"/>
      <c r="L106" s="556"/>
      <c r="M106" s="556"/>
      <c r="N106" s="557"/>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0" t="s">
        <v>69</v>
      </c>
      <c r="J108" s="541"/>
      <c r="K108" s="541"/>
      <c r="L108" s="541"/>
      <c r="M108" s="541"/>
      <c r="N108" s="542"/>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E93:E94"/>
    <mergeCell ref="E87:E90"/>
    <mergeCell ref="P55:R56"/>
    <mergeCell ref="E76:E83"/>
    <mergeCell ref="G1:H1"/>
    <mergeCell ref="E20:E25"/>
    <mergeCell ref="F52:Z52"/>
    <mergeCell ref="F53:Z53"/>
    <mergeCell ref="E28:E33"/>
    <mergeCell ref="E36:E41"/>
    <mergeCell ref="Q100:AA102"/>
    <mergeCell ref="Q103:AA105"/>
    <mergeCell ref="I108:N108"/>
    <mergeCell ref="I100:N100"/>
    <mergeCell ref="I101:N101"/>
    <mergeCell ref="I105:N105"/>
    <mergeCell ref="I104:N104"/>
    <mergeCell ref="I106:N106"/>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s>
  <phoneticPr fontId="25" type="noConversion"/>
  <conditionalFormatting sqref="K93:L94">
    <cfRule type="expression" dxfId="119" priority="424">
      <formula>K93=""</formula>
    </cfRule>
  </conditionalFormatting>
  <conditionalFormatting sqref="K87:L87">
    <cfRule type="expression" dxfId="118" priority="381">
      <formula>K87=""</formula>
    </cfRule>
  </conditionalFormatting>
  <conditionalFormatting sqref="K88:L88">
    <cfRule type="expression" dxfId="117" priority="348">
      <formula>K88=""</formula>
    </cfRule>
  </conditionalFormatting>
  <conditionalFormatting sqref="K89:L89">
    <cfRule type="expression" dxfId="116" priority="345">
      <formula>K89=""</formula>
    </cfRule>
  </conditionalFormatting>
  <conditionalFormatting sqref="K90:L90">
    <cfRule type="expression" dxfId="115" priority="342">
      <formula>K90=""</formula>
    </cfRule>
  </conditionalFormatting>
  <conditionalFormatting sqref="J87 M87">
    <cfRule type="expression" dxfId="114" priority="321">
      <formula>IF(COUNT($K87:$L87)=2,IF(AND($J87&lt;&gt;$M87,$K87=$L87,$J87&lt;&gt;"",$M87&lt;&gt;""),1=2,IF(AND($J87&lt;&gt;"",$K87=$L87),1=1,IF(AND($J87="",$K87=$L87),1=1,1=2))),1=2)</formula>
    </cfRule>
  </conditionalFormatting>
  <conditionalFormatting sqref="F52:Z53">
    <cfRule type="expression" dxfId="113" priority="265">
      <formula>$E$52&gt;0</formula>
    </cfRule>
  </conditionalFormatting>
  <conditionalFormatting sqref="AC6:AC9">
    <cfRule type="expression" dxfId="112" priority="225">
      <formula>IF(AND(VLOOKUP(AB6,$R$6:$AA$9,10,0)&gt;=0,VLOOKUP(AB6,$R$6:$AA$9,10,0)&lt;90),1,0)</formula>
    </cfRule>
  </conditionalFormatting>
  <conditionalFormatting sqref="AB4:AD5">
    <cfRule type="expression" dxfId="111" priority="217">
      <formula>$AA$5&gt;0</formula>
    </cfRule>
  </conditionalFormatting>
  <conditionalFormatting sqref="Q9">
    <cfRule type="expression" dxfId="110" priority="204">
      <formula>SUM($T$6:$T$9)=12</formula>
    </cfRule>
  </conditionalFormatting>
  <conditionalFormatting sqref="Z9">
    <cfRule type="expression" dxfId="109" priority="203">
      <formula>SUM($T$6:$T$9)=12</formula>
    </cfRule>
  </conditionalFormatting>
  <conditionalFormatting sqref="R9:Y9">
    <cfRule type="expression" dxfId="108" priority="202">
      <formula>SUM($T$6:$T$9)=12</formula>
    </cfRule>
  </conditionalFormatting>
  <conditionalFormatting sqref="J93:J94 M93:M94">
    <cfRule type="expression" dxfId="107" priority="192">
      <formula>IF(COUNT($K93:$L93)=2,IF(AND($J93&lt;&gt;$M93,$K93=$L93,$J93&lt;&gt;"",$M93&lt;&gt;""),1=2,IF(AND($J93&lt;&gt;"",$K93=$L93),1=1,IF(AND($J93="",$K93=$L93),1=1,1=2))),1=2)</formula>
    </cfRule>
  </conditionalFormatting>
  <conditionalFormatting sqref="AA6:AA9">
    <cfRule type="iconSet" priority="536">
      <iconSet iconSet="3Symbols2" showValue="0">
        <cfvo type="percent" val="0"/>
        <cfvo type="num" val="0"/>
        <cfvo type="num" val="90"/>
      </iconSet>
    </cfRule>
  </conditionalFormatting>
  <conditionalFormatting sqref="O4:O9">
    <cfRule type="iconSet" priority="537">
      <iconSet iconSet="3Symbols2" showValue="0">
        <cfvo type="percent" val="0"/>
        <cfvo type="num" val="0.5"/>
        <cfvo type="num" val="1"/>
      </iconSet>
    </cfRule>
  </conditionalFormatting>
  <conditionalFormatting sqref="AC14:AC17">
    <cfRule type="expression" dxfId="106" priority="181">
      <formula>IF(AND(VLOOKUP(AB14,$R$14:$AA$17,10,0)&gt;=0,VLOOKUP(AB14,$R$14:$AA$17,10,0)&lt;90),1,0)</formula>
    </cfRule>
  </conditionalFormatting>
  <conditionalFormatting sqref="AB12:AD13">
    <cfRule type="expression" dxfId="105" priority="180">
      <formula>$AA$13&gt;0</formula>
    </cfRule>
  </conditionalFormatting>
  <conditionalFormatting sqref="Q17">
    <cfRule type="expression" dxfId="104" priority="174">
      <formula>SUM($T$14:$T$17)=12</formula>
    </cfRule>
  </conditionalFormatting>
  <conditionalFormatting sqref="Z17">
    <cfRule type="expression" dxfId="103" priority="173">
      <formula>SUM($T$14:$T$17)=12</formula>
    </cfRule>
  </conditionalFormatting>
  <conditionalFormatting sqref="R17:Y17">
    <cfRule type="expression" dxfId="102" priority="172">
      <formula>SUM($T$14:$T$17)=12</formula>
    </cfRule>
  </conditionalFormatting>
  <conditionalFormatting sqref="AA14:AA17">
    <cfRule type="iconSet" priority="188">
      <iconSet iconSet="3Symbols2" showValue="0">
        <cfvo type="percent" val="0"/>
        <cfvo type="num" val="0"/>
        <cfvo type="num" val="90"/>
      </iconSet>
    </cfRule>
  </conditionalFormatting>
  <conditionalFormatting sqref="O12:O17">
    <cfRule type="iconSet" priority="189">
      <iconSet iconSet="3Symbols2" showValue="0">
        <cfvo type="percent" val="0"/>
        <cfvo type="num" val="0.5"/>
        <cfvo type="num" val="1"/>
      </iconSet>
    </cfRule>
  </conditionalFormatting>
  <conditionalFormatting sqref="AC22:AC25">
    <cfRule type="expression" dxfId="101" priority="163">
      <formula>IF(AND(VLOOKUP(AB22,$R$22:$AA$25,10,0)&gt;=0,VLOOKUP(AB22,$R$22:$AA$25,10,0)&lt;90),1,0)</formula>
    </cfRule>
  </conditionalFormatting>
  <conditionalFormatting sqref="AB20:AD21">
    <cfRule type="expression" dxfId="100" priority="162">
      <formula>$AA$21&gt;0</formula>
    </cfRule>
  </conditionalFormatting>
  <conditionalFormatting sqref="Q25">
    <cfRule type="expression" dxfId="99" priority="156">
      <formula>SUM($T$22:$T$25)=12</formula>
    </cfRule>
  </conditionalFormatting>
  <conditionalFormatting sqref="Z25">
    <cfRule type="expression" dxfId="98" priority="155">
      <formula>SUM($T$22:$T$25)=12</formula>
    </cfRule>
  </conditionalFormatting>
  <conditionalFormatting sqref="R25:Y25">
    <cfRule type="expression" dxfId="97" priority="154">
      <formula>SUM($T$22:$T$25)=12</formula>
    </cfRule>
  </conditionalFormatting>
  <conditionalFormatting sqref="O20:O25">
    <cfRule type="iconSet" priority="171">
      <iconSet iconSet="3Symbols2" showValue="0">
        <cfvo type="percent" val="0"/>
        <cfvo type="num" val="0.5"/>
        <cfvo type="num" val="1"/>
      </iconSet>
    </cfRule>
  </conditionalFormatting>
  <conditionalFormatting sqref="P55:R56">
    <cfRule type="expression" dxfId="96" priority="142">
      <formula>$O$56&gt;0</formula>
    </cfRule>
  </conditionalFormatting>
  <conditionalFormatting sqref="J97 M97">
    <cfRule type="expression" dxfId="95" priority="139">
      <formula>IF(COUNT($K97:$L97)=2,IF(AND($J97&lt;&gt;$M97,$K97=$L97,$J97&lt;&gt;"",$M97&lt;&gt;""),1=2,IF(AND($J97&lt;&gt;"",$K97=$L97),1=1,IF(AND($J97="",$K97=$L97),1=1,1=2))),1=2)</formula>
    </cfRule>
  </conditionalFormatting>
  <conditionalFormatting sqref="K97:L97">
    <cfRule type="expression" dxfId="94" priority="137">
      <formula>K97=""</formula>
    </cfRule>
  </conditionalFormatting>
  <conditionalFormatting sqref="O97">
    <cfRule type="iconSet" priority="138">
      <iconSet iconSet="3Symbols2" showValue="0">
        <cfvo type="percent" val="0"/>
        <cfvo type="num" val="0.5"/>
        <cfvo type="num" val="1"/>
      </iconSet>
    </cfRule>
  </conditionalFormatting>
  <conditionalFormatting sqref="O100:O101">
    <cfRule type="iconSet" priority="134">
      <iconSet iconSet="3Symbols2" showValue="0">
        <cfvo type="percent" val="0"/>
        <cfvo type="num" val="0.5"/>
        <cfvo type="num" val="1"/>
      </iconSet>
    </cfRule>
  </conditionalFormatting>
  <conditionalFormatting sqref="O104:O106">
    <cfRule type="iconSet" priority="133">
      <iconSet iconSet="3Symbols2" showValue="0">
        <cfvo type="percent" val="0"/>
        <cfvo type="num" val="0.5"/>
        <cfvo type="num" val="1"/>
      </iconSet>
    </cfRule>
  </conditionalFormatting>
  <conditionalFormatting sqref="O108">
    <cfRule type="iconSet" priority="131">
      <iconSet iconSet="3Symbols2" showValue="0">
        <cfvo type="percent" val="0"/>
        <cfvo type="num" val="0.5"/>
        <cfvo type="num" val="1"/>
      </iconSet>
    </cfRule>
  </conditionalFormatting>
  <conditionalFormatting sqref="Q100:AA105">
    <cfRule type="expression" dxfId="93" priority="129">
      <formula>IF($Q$100="PORRA COMPLETA:",1,0)</formula>
    </cfRule>
  </conditionalFormatting>
  <conditionalFormatting sqref="J90">
    <cfRule type="expression" dxfId="92" priority="115">
      <formula>IF(COUNT($K90:$L90)=2,IF(AND($J90&lt;&gt;$M90,$K90=$L90,$J90&lt;&gt;"",$M90&lt;&gt;""),1=2,IF(AND($J90&lt;&gt;"",$K90=$L90),1=1,IF(AND($J90="",$K90=$L90),1=1,1=2))),1=2)</formula>
    </cfRule>
  </conditionalFormatting>
  <conditionalFormatting sqref="M90">
    <cfRule type="expression" dxfId="91" priority="114">
      <formula>IF(COUNT($K90:$L90)=2,IF(AND($J90&lt;&gt;$M90,$K90=$L90,$J90&lt;&gt;"",$M90&lt;&gt;""),1=2,IF(AND($J90&lt;&gt;"",$K90=$L90),1=1,IF(AND($J90="",$K90=$L90),1=1,1=2))),1=2)</formula>
    </cfRule>
  </conditionalFormatting>
  <conditionalFormatting sqref="J88">
    <cfRule type="expression" dxfId="90" priority="113">
      <formula>IF(COUNT($K88:$L88)=2,IF(AND($J88&lt;&gt;$M88,$K88=$L88,$J88&lt;&gt;"",$M88&lt;&gt;""),1=2,IF(AND($J88&lt;&gt;"",$K88=$L88),1=1,IF(AND($J88="",$K88=$L88),1=1,1=2))),1=2)</formula>
    </cfRule>
  </conditionalFormatting>
  <conditionalFormatting sqref="M88">
    <cfRule type="expression" dxfId="89" priority="112">
      <formula>IF(COUNT($K88:$L88)=2,IF(AND($J88&lt;&gt;$M88,$K88=$L88,$J88&lt;&gt;"",$M88&lt;&gt;""),1=2,IF(AND($J88&lt;&gt;"",$K88=$L88),1=1,IF(AND($J88="",$K88=$L88),1=1,1=2))),1=2)</formula>
    </cfRule>
  </conditionalFormatting>
  <conditionalFormatting sqref="J89">
    <cfRule type="expression" dxfId="88" priority="111">
      <formula>IF(COUNT($K89:$L89)=2,IF(AND($J89&lt;&gt;$M89,$K89=$L89,$J89&lt;&gt;"",$M89&lt;&gt;""),1=2,IF(AND($J89&lt;&gt;"",$K89=$L89),1=1,IF(AND($J89="",$K89=$L89),1=1,1=2))),1=2)</formula>
    </cfRule>
  </conditionalFormatting>
  <conditionalFormatting sqref="M89">
    <cfRule type="expression" dxfId="87" priority="110">
      <formula>IF(COUNT($K89:$L89)=2,IF(AND($J89&lt;&gt;$M89,$K89=$L89,$J89&lt;&gt;"",$M89&lt;&gt;""),1=2,IF(AND($J89&lt;&gt;"",$K89=$L89),1=1,IF(AND($J89="",$K89=$L89),1=1,1=2))),1=2)</formula>
    </cfRule>
  </conditionalFormatting>
  <conditionalFormatting sqref="AC30:AC33">
    <cfRule type="expression" dxfId="86" priority="105">
      <formula>IF(AND(VLOOKUP(AB30,$R$30:$AA$33,10,0)&gt;=0,VLOOKUP(AB30,$R$30:$AA$33,10,0)&lt;90),1,0)</formula>
    </cfRule>
  </conditionalFormatting>
  <conditionalFormatting sqref="AB28:AD29">
    <cfRule type="expression" dxfId="85" priority="104">
      <formula>$AA$29&gt;0</formula>
    </cfRule>
  </conditionalFormatting>
  <conditionalFormatting sqref="Q33">
    <cfRule type="expression" dxfId="84" priority="100">
      <formula>SUM($T$30:$T$33)=12</formula>
    </cfRule>
  </conditionalFormatting>
  <conditionalFormatting sqref="Z33">
    <cfRule type="expression" dxfId="83" priority="99">
      <formula>SUM($T$30:$T$33)=12</formula>
    </cfRule>
  </conditionalFormatting>
  <conditionalFormatting sqref="R33:Y33">
    <cfRule type="expression" dxfId="82" priority="98">
      <formula>SUM($T$30:$T$33)=12</formula>
    </cfRule>
  </conditionalFormatting>
  <conditionalFormatting sqref="AA30:AA33">
    <cfRule type="iconSet" priority="108">
      <iconSet iconSet="3Symbols2" showValue="0">
        <cfvo type="percent" val="0"/>
        <cfvo type="num" val="0"/>
        <cfvo type="num" val="90"/>
      </iconSet>
    </cfRule>
  </conditionalFormatting>
  <conditionalFormatting sqref="O28:O33">
    <cfRule type="iconSet" priority="109">
      <iconSet iconSet="3Symbols2" showValue="0">
        <cfvo type="percent" val="0"/>
        <cfvo type="num" val="0.5"/>
        <cfvo type="num" val="1"/>
      </iconSet>
    </cfRule>
  </conditionalFormatting>
  <conditionalFormatting sqref="AC38:AC41">
    <cfRule type="expression" dxfId="81" priority="93">
      <formula>IF(AND(VLOOKUP(AB38,$R$38:$AA$41,10,0)&gt;=0,VLOOKUP(AB38,$R$38:$AA$41,10,0)&lt;90),1,0)</formula>
    </cfRule>
  </conditionalFormatting>
  <conditionalFormatting sqref="AB36:AD37">
    <cfRule type="expression" dxfId="80" priority="92">
      <formula>$AA$37&gt;0</formula>
    </cfRule>
  </conditionalFormatting>
  <conditionalFormatting sqref="Q41">
    <cfRule type="expression" dxfId="79" priority="88">
      <formula>SUM($T$38:$T$41)=12</formula>
    </cfRule>
  </conditionalFormatting>
  <conditionalFormatting sqref="Z41">
    <cfRule type="expression" dxfId="78" priority="87">
      <formula>SUM($T$38:$T$41)=12</formula>
    </cfRule>
  </conditionalFormatting>
  <conditionalFormatting sqref="R41:Y41">
    <cfRule type="expression" dxfId="77" priority="86">
      <formula>SUM($T$38:$T$41)=12</formula>
    </cfRule>
  </conditionalFormatting>
  <conditionalFormatting sqref="AA38:AA41">
    <cfRule type="iconSet" priority="96">
      <iconSet iconSet="3Symbols2" showValue="0">
        <cfvo type="percent" val="0"/>
        <cfvo type="num" val="0"/>
        <cfvo type="num" val="90"/>
      </iconSet>
    </cfRule>
  </conditionalFormatting>
  <conditionalFormatting sqref="O36:O41">
    <cfRule type="iconSet" priority="97">
      <iconSet iconSet="3Symbols2" showValue="0">
        <cfvo type="percent" val="0"/>
        <cfvo type="num" val="0.5"/>
        <cfvo type="num" val="1"/>
      </iconSet>
    </cfRule>
  </conditionalFormatting>
  <conditionalFormatting sqref="AC46:AC49">
    <cfRule type="expression" dxfId="76" priority="81">
      <formula>IF(AND(VLOOKUP(AB46,$R$46:$AA$49,10,0)&gt;=0,VLOOKUP(AB46,$R$46:$AA$49,10,0)&lt;90),1,0)</formula>
    </cfRule>
  </conditionalFormatting>
  <conditionalFormatting sqref="AB44:AD45">
    <cfRule type="expression" dxfId="75" priority="80">
      <formula>$AA$45&gt;0</formula>
    </cfRule>
  </conditionalFormatting>
  <conditionalFormatting sqref="Q49">
    <cfRule type="expression" dxfId="74" priority="76">
      <formula>SUM($T$46:$T$49)=12</formula>
    </cfRule>
  </conditionalFormatting>
  <conditionalFormatting sqref="Z49">
    <cfRule type="expression" dxfId="73" priority="75">
      <formula>SUM($T$46:$T$49)=12</formula>
    </cfRule>
  </conditionalFormatting>
  <conditionalFormatting sqref="R49:Y49">
    <cfRule type="expression" dxfId="72" priority="74">
      <formula>SUM($T$46:$T$49)=12</formula>
    </cfRule>
  </conditionalFormatting>
  <conditionalFormatting sqref="AA46:AA49">
    <cfRule type="iconSet" priority="84">
      <iconSet iconSet="3Symbols2" showValue="0">
        <cfvo type="percent" val="0"/>
        <cfvo type="num" val="0"/>
        <cfvo type="num" val="90"/>
      </iconSet>
    </cfRule>
  </conditionalFormatting>
  <conditionalFormatting sqref="O44:O49">
    <cfRule type="iconSet" priority="85">
      <iconSet iconSet="3Symbols2" showValue="0">
        <cfvo type="percent" val="0"/>
        <cfvo type="num" val="0.5"/>
        <cfvo type="num" val="1"/>
      </iconSet>
    </cfRule>
  </conditionalFormatting>
  <conditionalFormatting sqref="Q8:Z8">
    <cfRule type="expression" dxfId="71" priority="543">
      <formula>AND(SUM($H$57:$H62)=18,OR($R$8=$F$61,$R$8=$F$62))</formula>
    </cfRule>
  </conditionalFormatting>
  <conditionalFormatting sqref="Q16:Z16">
    <cfRule type="expression" dxfId="70" priority="547">
      <formula>AND(SUM($H$57:$H62)=18,OR($R$16=$F$61,$R$16=$F$62))</formula>
    </cfRule>
  </conditionalFormatting>
  <conditionalFormatting sqref="Q24:Z24">
    <cfRule type="expression" dxfId="69" priority="549">
      <formula>AND(SUM($H$57:$H62)=18,OR($R$24=$F$61,$R$24=$F$62))</formula>
    </cfRule>
  </conditionalFormatting>
  <conditionalFormatting sqref="J76">
    <cfRule type="expression" dxfId="68" priority="73">
      <formula>IF(COUNT($K76:$L76)=2,IF(AND($J76&lt;&gt;$M76,$K76=$L76,$J76&lt;&gt;"",$M76&lt;&gt;""),1=2,IF(AND($J76&lt;&gt;"",$K76=$L76),1=1,IF(AND($J76="",$K76=$L76),1=1,1=2))),1=2)</formula>
    </cfRule>
  </conditionalFormatting>
  <conditionalFormatting sqref="J79">
    <cfRule type="expression" dxfId="67" priority="72">
      <formula>IF(COUNT($K79:$L79)=2,IF(AND($J79&lt;&gt;$M79,$K79=$L79,$J79&lt;&gt;"",$M79&lt;&gt;""),1=2,IF(AND($J79&lt;&gt;"",$K79=$L79),1=1,IF(AND($J79="",$K79=$L79),1=1,1=2))),1=2)</formula>
    </cfRule>
  </conditionalFormatting>
  <conditionalFormatting sqref="J77">
    <cfRule type="expression" dxfId="66" priority="71">
      <formula>IF(COUNT($K77:$L77)=2,IF(AND($J77&lt;&gt;$M77,$K77=$L77,$J77&lt;&gt;"",$M77&lt;&gt;""),1=2,IF(AND($J77&lt;&gt;"",$K77=$L77),1=1,IF(AND($J77="",$K77=$L77),1=1,1=2))),1=2)</formula>
    </cfRule>
  </conditionalFormatting>
  <conditionalFormatting sqref="J78">
    <cfRule type="expression" dxfId="65" priority="70">
      <formula>IF(COUNT($K78:$L78)=2,IF(AND($J78&lt;&gt;$M78,$K78=$L78,$J78&lt;&gt;"",$M78&lt;&gt;""),1=2,IF(AND($J78&lt;&gt;"",$K78=$L78),1=1,IF(AND($J78="",$K78=$L78),1=1,1=2))),1=2)</formula>
    </cfRule>
  </conditionalFormatting>
  <conditionalFormatting sqref="J80">
    <cfRule type="expression" dxfId="64" priority="69">
      <formula>IF(COUNT($K80:$L80)=2,IF(AND($J80&lt;&gt;$M80,$K80=$L80,$J80&lt;&gt;"",$M80&lt;&gt;""),1=2,IF(AND($J80&lt;&gt;"",$K80=$L80),1=1,IF(AND($J80="",$K80=$L80),1=1,1=2))),1=2)</formula>
    </cfRule>
  </conditionalFormatting>
  <conditionalFormatting sqref="J83">
    <cfRule type="expression" dxfId="63" priority="68">
      <formula>IF(COUNT($K83:$L83)=2,IF(AND($J83&lt;&gt;$M83,$K83=$L83,$J83&lt;&gt;"",$M83&lt;&gt;""),1=2,IF(AND($J83&lt;&gt;"",$K83=$L83),1=1,IF(AND($J83="",$K83=$L83),1=1,1=2))),1=2)</formula>
    </cfRule>
  </conditionalFormatting>
  <conditionalFormatting sqref="J81">
    <cfRule type="expression" dxfId="62" priority="67">
      <formula>IF(COUNT($K81:$L81)=2,IF(AND($J81&lt;&gt;$M81,$K81=$L81,$J81&lt;&gt;"",$M81&lt;&gt;""),1=2,IF(AND($J81&lt;&gt;"",$K81=$L81),1=1,IF(AND($J81="",$K81=$L81),1=1,1=2))),1=2)</formula>
    </cfRule>
  </conditionalFormatting>
  <conditionalFormatting sqref="J82">
    <cfRule type="expression" dxfId="61" priority="66">
      <formula>IF(COUNT($K82:$L82)=2,IF(AND($J82&lt;&gt;$M82,$K82=$L82,$J82&lt;&gt;"",$M82&lt;&gt;""),1=2,IF(AND($J82&lt;&gt;"",$K82=$L82),1=1,IF(AND($J82="",$K82=$L82),1=1,1=2))),1=2)</formula>
    </cfRule>
  </conditionalFormatting>
  <conditionalFormatting sqref="M76">
    <cfRule type="expression" dxfId="60" priority="65">
      <formula>IF(COUNT($K76:$L76)=2,IF(AND($J76&lt;&gt;$M76,$K76=$L76,$J76&lt;&gt;"",$M76&lt;&gt;""),1=2,IF(AND($J76&lt;&gt;"",$K76=$L76),1=1,IF(AND($J76="",$K76=$L76),1=1,1=2))),1=2)</formula>
    </cfRule>
  </conditionalFormatting>
  <conditionalFormatting sqref="M79">
    <cfRule type="expression" dxfId="59" priority="64">
      <formula>IF(COUNT($K79:$L79)=2,IF(AND($J79&lt;&gt;$M79,$K79=$L79,$J79&lt;&gt;"",$M79&lt;&gt;""),1=2,IF(AND($J79&lt;&gt;"",$K79=$L79),1=1,IF(AND($J79="",$K79=$L79),1=1,1=2))),1=2)</formula>
    </cfRule>
  </conditionalFormatting>
  <conditionalFormatting sqref="M77">
    <cfRule type="expression" dxfId="58" priority="63">
      <formula>IF(COUNT($K77:$L77)=2,IF(AND($J77&lt;&gt;$M77,$K77=$L77,$J77&lt;&gt;"",$M77&lt;&gt;""),1=2,IF(AND($J77&lt;&gt;"",$K77=$L77),1=1,IF(AND($J77="",$K77=$L77),1=1,1=2))),1=2)</formula>
    </cfRule>
  </conditionalFormatting>
  <conditionalFormatting sqref="M78">
    <cfRule type="expression" dxfId="57" priority="62">
      <formula>IF(COUNT($K78:$L78)=2,IF(AND($J78&lt;&gt;$M78,$K78=$L78,$J78&lt;&gt;"",$M78&lt;&gt;""),1=2,IF(AND($J78&lt;&gt;"",$K78=$L78),1=1,IF(AND($J78="",$K78=$L78),1=1,1=2))),1=2)</formula>
    </cfRule>
  </conditionalFormatting>
  <conditionalFormatting sqref="M80">
    <cfRule type="expression" dxfId="56" priority="61">
      <formula>IF(COUNT($K80:$L80)=2,IF(AND($J80&lt;&gt;$M80,$K80=$L80,$J80&lt;&gt;"",$M80&lt;&gt;""),1=2,IF(AND($J80&lt;&gt;"",$K80=$L80),1=1,IF(AND($J80="",$K80=$L80),1=1,1=2))),1=2)</formula>
    </cfRule>
  </conditionalFormatting>
  <conditionalFormatting sqref="M83">
    <cfRule type="expression" dxfId="55" priority="60">
      <formula>IF(COUNT($K83:$L83)=2,IF(AND($J83&lt;&gt;$M83,$K83=$L83,$J83&lt;&gt;"",$M83&lt;&gt;""),1=2,IF(AND($J83&lt;&gt;"",$K83=$L83),1=1,IF(AND($J83="",$K83=$L83),1=1,1=2))),1=2)</formula>
    </cfRule>
  </conditionalFormatting>
  <conditionalFormatting sqref="M81">
    <cfRule type="expression" dxfId="54" priority="59">
      <formula>IF(COUNT($K81:$L81)=2,IF(AND($J81&lt;&gt;$M81,$K81=$L81,$J81&lt;&gt;"",$M81&lt;&gt;""),1=2,IF(AND($J81&lt;&gt;"",$K81=$L81),1=1,IF(AND($J81="",$K81=$L81),1=1,1=2))),1=2)</formula>
    </cfRule>
  </conditionalFormatting>
  <conditionalFormatting sqref="M82">
    <cfRule type="expression" dxfId="53" priority="58">
      <formula>IF(COUNT($K82:$L82)=2,IF(AND($J82&lt;&gt;$M82,$K82=$L82,$J82&lt;&gt;"",$M82&lt;&gt;""),1=2,IF(AND($J82&lt;&gt;"",$K82=$L82),1=1,IF(AND($J82="",$K82=$L82),1=1,1=2))),1=2)</formula>
    </cfRule>
  </conditionalFormatting>
  <conditionalFormatting sqref="K76:L76">
    <cfRule type="expression" dxfId="52" priority="55">
      <formula>K76=""</formula>
    </cfRule>
  </conditionalFormatting>
  <conditionalFormatting sqref="K77:L77">
    <cfRule type="expression" dxfId="51" priority="54">
      <formula>K77=""</formula>
    </cfRule>
  </conditionalFormatting>
  <conditionalFormatting sqref="K81:L81">
    <cfRule type="expression" dxfId="50" priority="50">
      <formula>K81=""</formula>
    </cfRule>
  </conditionalFormatting>
  <conditionalFormatting sqref="K82:L82">
    <cfRule type="expression" dxfId="49" priority="49">
      <formula>K82=""</formula>
    </cfRule>
  </conditionalFormatting>
  <conditionalFormatting sqref="K83:L83">
    <cfRule type="expression" dxfId="48" priority="48">
      <formula>K83=""</formula>
    </cfRule>
  </conditionalFormatting>
  <conditionalFormatting sqref="K78">
    <cfRule type="expression" dxfId="47" priority="47">
      <formula>K78=""</formula>
    </cfRule>
  </conditionalFormatting>
  <conditionalFormatting sqref="K79">
    <cfRule type="expression" dxfId="46" priority="46">
      <formula>K79=""</formula>
    </cfRule>
  </conditionalFormatting>
  <conditionalFormatting sqref="K80">
    <cfRule type="expression" dxfId="45" priority="45">
      <formula>K80=""</formula>
    </cfRule>
  </conditionalFormatting>
  <conditionalFormatting sqref="L78">
    <cfRule type="expression" dxfId="44" priority="44">
      <formula>L78=""</formula>
    </cfRule>
  </conditionalFormatting>
  <conditionalFormatting sqref="L79">
    <cfRule type="expression" dxfId="43" priority="43">
      <formula>L79=""</formula>
    </cfRule>
  </conditionalFormatting>
  <conditionalFormatting sqref="L80">
    <cfRule type="expression" dxfId="42" priority="42">
      <formula>L80=""</formula>
    </cfRule>
  </conditionalFormatting>
  <conditionalFormatting sqref="Q57:Q62">
    <cfRule type="expression" dxfId="41" priority="39">
      <formula>IF(AND(VLOOKUP(P57,$F$57:$O$62,10,0)&gt;=0,VLOOKUP(P57,$F$57:$O$62,10,0)&lt;90),1,0)</formula>
    </cfRule>
  </conditionalFormatting>
  <conditionalFormatting sqref="E61:E62">
    <cfRule type="expression" dxfId="40" priority="32">
      <formula>SUM($AK$57:$AK$62)=18</formula>
    </cfRule>
  </conditionalFormatting>
  <conditionalFormatting sqref="N61:N62">
    <cfRule type="expression" dxfId="39" priority="31">
      <formula>SUM($AK$57:$AK$62)=18</formula>
    </cfRule>
  </conditionalFormatting>
  <conditionalFormatting sqref="F61:M62">
    <cfRule type="expression" dxfId="38" priority="30">
      <formula>SUM($AK$57:$AK$62)=18</formula>
    </cfRule>
  </conditionalFormatting>
  <conditionalFormatting sqref="O57:O62">
    <cfRule type="iconSet" priority="566">
      <iconSet iconSet="3Symbols2" showValue="0">
        <cfvo type="percent" val="0"/>
        <cfvo type="num" val="0"/>
        <cfvo type="num" val="90"/>
      </iconSet>
    </cfRule>
  </conditionalFormatting>
  <conditionalFormatting sqref="Q32:Z32">
    <cfRule type="expression" dxfId="37" priority="570">
      <formula>AND(SUM($H$57:$H62)=18,OR($R$32=$F$61,$R$32=$F$62))</formula>
    </cfRule>
  </conditionalFormatting>
  <conditionalFormatting sqref="Q48:Z48">
    <cfRule type="expression" dxfId="36" priority="574">
      <formula>AND(SUM($H$57:$H62)=18,OR($R$48=$F$61,$R$48=$F$62))</formula>
    </cfRule>
  </conditionalFormatting>
  <conditionalFormatting sqref="CL55:CMH55">
    <cfRule type="expression" dxfId="35" priority="29">
      <formula>IF(CL$55=6,1,0)</formula>
    </cfRule>
  </conditionalFormatting>
  <conditionalFormatting sqref="CI54">
    <cfRule type="cellIs" dxfId="34" priority="28" operator="greaterThan">
      <formula>1</formula>
    </cfRule>
  </conditionalFormatting>
  <conditionalFormatting sqref="Q40:Z40">
    <cfRule type="expression" dxfId="33" priority="27">
      <formula>AND(SUM($H$57:$H62)=18,OR($R$40=$F$61,$R$40=$F$62))</formula>
    </cfRule>
  </conditionalFormatting>
  <conditionalFormatting sqref="CJ53">
    <cfRule type="cellIs" dxfId="32" priority="26" operator="equal">
      <formula>1</formula>
    </cfRule>
  </conditionalFormatting>
  <conditionalFormatting sqref="O87:O90 O93:O94">
    <cfRule type="iconSet" priority="24">
      <iconSet iconSet="3Symbols2" showValue="0">
        <cfvo type="percent" val="0"/>
        <cfvo type="num" val="0.5"/>
        <cfvo type="num" val="1"/>
      </iconSet>
    </cfRule>
  </conditionalFormatting>
  <conditionalFormatting sqref="O76:O83">
    <cfRule type="iconSet" priority="22">
      <iconSet iconSet="3Symbols2" showValue="0">
        <cfvo type="percent" val="0"/>
        <cfvo type="num" val="0.5"/>
        <cfvo type="num" val="1"/>
      </iconSet>
    </cfRule>
  </conditionalFormatting>
  <conditionalFormatting sqref="O84">
    <cfRule type="iconSet" priority="25">
      <iconSet iconSet="3Symbols2" showValue="0">
        <cfvo type="percent" val="0"/>
        <cfvo type="num" val="0"/>
        <cfvo type="num" val="90"/>
      </iconSet>
    </cfRule>
  </conditionalFormatting>
  <conditionalFormatting sqref="AA22:AA25">
    <cfRule type="iconSet" priority="21">
      <iconSet iconSet="3Symbols2" showValue="0">
        <cfvo type="percent" val="0"/>
        <cfvo type="num" val="0"/>
        <cfvo type="num" val="90"/>
      </iconSet>
    </cfRule>
  </conditionalFormatting>
  <conditionalFormatting sqref="K4:L4">
    <cfRule type="expression" dxfId="31" priority="18">
      <formula>K4=""</formula>
    </cfRule>
  </conditionalFormatting>
  <conditionalFormatting sqref="K5:L7">
    <cfRule type="expression" dxfId="30" priority="17">
      <formula>K5=""</formula>
    </cfRule>
  </conditionalFormatting>
  <conditionalFormatting sqref="K12:L12">
    <cfRule type="expression" dxfId="29" priority="16">
      <formula>K12=""</formula>
    </cfRule>
  </conditionalFormatting>
  <conditionalFormatting sqref="K13:L15">
    <cfRule type="expression" dxfId="28" priority="15">
      <formula>K13=""</formula>
    </cfRule>
  </conditionalFormatting>
  <conditionalFormatting sqref="K20:L20">
    <cfRule type="expression" dxfId="27" priority="14">
      <formula>K20=""</formula>
    </cfRule>
  </conditionalFormatting>
  <conditionalFormatting sqref="K21:L23">
    <cfRule type="expression" dxfId="26" priority="13">
      <formula>K21=""</formula>
    </cfRule>
  </conditionalFormatting>
  <conditionalFormatting sqref="K28:L28">
    <cfRule type="expression" dxfId="25" priority="12">
      <formula>K28=""</formula>
    </cfRule>
  </conditionalFormatting>
  <conditionalFormatting sqref="K29:L30">
    <cfRule type="expression" dxfId="24" priority="11">
      <formula>K29=""</formula>
    </cfRule>
  </conditionalFormatting>
  <conditionalFormatting sqref="K36:L36">
    <cfRule type="expression" dxfId="23" priority="10">
      <formula>K36=""</formula>
    </cfRule>
  </conditionalFormatting>
  <conditionalFormatting sqref="K37:L38 K40:L41">
    <cfRule type="expression" dxfId="22" priority="9">
      <formula>K37=""</formula>
    </cfRule>
  </conditionalFormatting>
  <conditionalFormatting sqref="K44:L44">
    <cfRule type="expression" dxfId="21" priority="8">
      <formula>K44=""</formula>
    </cfRule>
  </conditionalFormatting>
  <conditionalFormatting sqref="K45:L45 K48:L49">
    <cfRule type="expression" dxfId="20" priority="7">
      <formula>K45=""</formula>
    </cfRule>
  </conditionalFormatting>
  <conditionalFormatting sqref="K8:L9">
    <cfRule type="expression" dxfId="19" priority="6">
      <formula>K8=""</formula>
    </cfRule>
  </conditionalFormatting>
  <conditionalFormatting sqref="K16:L17">
    <cfRule type="expression" dxfId="18" priority="5">
      <formula>K16=""</formula>
    </cfRule>
  </conditionalFormatting>
  <conditionalFormatting sqref="K24:L25">
    <cfRule type="expression" dxfId="17" priority="4">
      <formula>K24=""</formula>
    </cfRule>
  </conditionalFormatting>
  <conditionalFormatting sqref="K31:L33">
    <cfRule type="expression" dxfId="16" priority="3">
      <formula>K31=""</formula>
    </cfRule>
  </conditionalFormatting>
  <conditionalFormatting sqref="K39:L39">
    <cfRule type="expression" dxfId="15" priority="2">
      <formula>K39=""</formula>
    </cfRule>
  </conditionalFormatting>
  <conditionalFormatting sqref="K46:L47">
    <cfRule type="expression" dxfId="14" priority="1">
      <formula>K46=""</formula>
    </cfRule>
  </conditionalFormatting>
  <dataValidations count="32">
    <dataValidation type="whole" allowBlank="1" showInputMessage="1" showErrorMessage="1" error="Introduzca un número." sqref="J87:M90 J93:M94 J97:M97 J76:M83">
      <formula1>0</formula1>
      <formula2>100</formula2>
    </dataValidation>
    <dataValidation type="list" allowBlank="1" showInputMessage="1" showErrorMessage="1" error="Introduce un puesto que corresponda_x000a_" sqref="AC6">
      <formula1>IF($CI$6=$CL$5,$EC$5:$EC$8,IF($CI$6=$CM$5,$ED$5:$ED$7,IF(OR($CI$6=$CN$5,$CI$6=$CO$5),$EE$5:$EE$6,$EI$5)))</formula1>
    </dataValidation>
    <dataValidation type="list" allowBlank="1" showInputMessage="1" showErrorMessage="1" sqref="AC7">
      <formula1>IF($CI$6=$CL$5,$EC$5:$EC$8,IF($CI$6=$CM$5,$ED$5:$ED$7,IF(OR($CI$6=$CN$5,$CI$6=$CO$5),$EE$5:$EE$6,IF($CI$6=$CP$5,$EF$5:$EF$7,(IF($CI$6=$CQ$5,$EH$5:$EH$6,$EJ$5))))))</formula1>
    </dataValidation>
    <dataValidation type="list" allowBlank="1" showInputMessage="1" showErrorMessage="1" sqref="AC8">
      <formula1>IF($CI$6=$CL$5,$EC$5:$EC$8,IF($CI$6=$CM$5,$ED$5:$ED$7,IF(OR($CI$6=$CN$5,$CI$6=$CR$5),$EG$5:$EG$6,IF($CI$6=$CP$5,$EF$5:$EF$7,(IF($CI$6=$CQ$5,$EH$5:$EH$6,$EK$5))))))</formula1>
    </dataValidation>
    <dataValidation type="list" allowBlank="1" showInputMessage="1" showErrorMessage="1" sqref="AC9">
      <formula1>IF($CI$6=$CL$5,$EC$5:$EC$8,IF(OR($CI$6=$CN$5,$CI$6=$CR$5),$EG$5:$EG$6,IF($CI$6=$CP$5,$EF$5:$EF$7,$EL$5)))</formula1>
    </dataValidation>
    <dataValidation type="whole" allowBlank="1" showInputMessage="1" showErrorMessage="1" error="Introduzca un número" sqref="K12:L17 K20:L25 K28:L33 K44:L49 K36:L41 K4:L9">
      <formula1>0</formula1>
      <formula2>100</formula2>
    </dataValidation>
    <dataValidation type="list" allowBlank="1" showInputMessage="1" showErrorMessage="1" error="Introduce un puesto que corresponda_x000a_" sqref="AC14">
      <formula1>IF($CI$14=$CL$13,$EC$13:$EC$16,IF($CI$14=$CM$13,$ED$13:$ED$15,IF(OR($CI$14=$CN$13,$CI$14=$CO$13),$EE$13:$EE$14,$EI$13)))</formula1>
    </dataValidation>
    <dataValidation type="list" allowBlank="1" showInputMessage="1" showErrorMessage="1" sqref="AC15">
      <formula1>IF($CI$14=$CL$13,$EC$13:$EC$16,IF($CI$14=$CM$13,$ED$13:$ED$15,IF(OR($CI$14=$CN$13,$CI$14=$CO$13),$EE$13:$EE$14,IF($CI$14=$CP$13,$EF$13:$EF$15,(IF($CI$14=$CQ$13,$EH$13:$EH$14,$EJ$13))))))</formula1>
    </dataValidation>
    <dataValidation type="list" allowBlank="1" showInputMessage="1" showErrorMessage="1" sqref="AC16">
      <formula1>IF($CI$14=$CL$13,$EC$13:$EC$16,IF($CI$14=$CM$13,$ED$13:$ED$15,IF(OR($CI$14=$CN$13,$CI$14=$CR$13),$EG$13:$EG$14,IF($CI$14=$CP$13,$EF$13:$EF$15,(IF($CI$14=$CQ$13,$EH$13:$EH$14,$EK$13))))))</formula1>
    </dataValidation>
    <dataValidation type="list" allowBlank="1" showInputMessage="1" showErrorMessage="1" sqref="AC17">
      <formula1>IF($CI$14=$CL$13,$EC$13:$EC$16,IF(OR($CI$14=$CN$13,$CI$14=$CR$13),$EG$13:$EG$14,IF($CI$14=$CP$13,$EF$13:$EF$15,$EL$13)))</formula1>
    </dataValidation>
    <dataValidation type="list" allowBlank="1" showInputMessage="1" showErrorMessage="1" error="Introduce un puesto que corresponda_x000a_" sqref="AC22">
      <formula1>IF($CI$22=$CL$21,$EC$21:$EC$24,IF($CI$22=$CM$21,$ED$21:$ED$23,IF(OR($CI$22=$CN$21,$CI$22=$CO$21),$EE$21:$EE$22,$EI$21)))</formula1>
    </dataValidation>
    <dataValidation type="list" allowBlank="1" showInputMessage="1" showErrorMessage="1" sqref="AC23">
      <formula1>IF($CI$22=$CL$21,$EC$21:$EC$24,IF($CI$22=$CM$21,$ED$21:$ED$23,IF(OR($CI$22=$CN$21,$CI$22=$CO$21),$EE$21:$EE$22,IF($CI$22=$CP$21,$EF$21:$EF$23,(IF($CI$22=$CQ$21,$EH$21:$EH$22,$EJ$21))))))</formula1>
    </dataValidation>
    <dataValidation type="list" allowBlank="1" showInputMessage="1" showErrorMessage="1" sqref="AC24">
      <formula1>IF($CI$22=$CL$21,$EC$21:$EC$24,IF($CI$22=$CM$21,$ED$21:$ED$23,IF(OR($CI$22=$CN$21,$CI$22=$CR$21),$EG$21:$EG$22,IF($CI$22=$CP$21,$EF$21:$EF$23,(IF($CI$22=$CQ$21,$EH$21:$EH$22,$EK$21))))))</formula1>
    </dataValidation>
    <dataValidation type="list" allowBlank="1" showInputMessage="1" showErrorMessage="1" sqref="AC25">
      <formula1>IF($CI$22=$CL$21,$EC$21:$EC$24,IF(OR($CI$22=$CN$21,$CI$22=$CR$21),$EG$21:$EG$22,IF($CI$22=$CP$21,$EF$21:$EF$23,$EL$21)))</formula1>
    </dataValidation>
    <dataValidation type="list" allowBlank="1" showInputMessage="1" showErrorMessage="1" error="Introduce un puesto que corresponda_x000a_" sqref="AC30">
      <formula1>IF($CI$30=$CL$29,$EC$29:$EC$32,IF($CI$30=$CM$29,$ED$29:$ED$31,IF(OR($CI$30=$CN$29,$CI$30=$CO$29),$EE$29:$EE$30,$EI$29)))</formula1>
    </dataValidation>
    <dataValidation type="list" allowBlank="1" showInputMessage="1" showErrorMessage="1" sqref="AC31">
      <formula1>IF($CI$30=$CL$29,$EC$29:$EC$32,IF($CI$30=$CM$29,$ED$29:$ED$31,IF(OR($CI$30=$CN$29,$CI$30=$CO$29),$EE$29:$EE$30,IF($CI$30=$CP$29,$EF$29:$EF$31,(IF($CI$30=$CQ$29,$EH$29:$EH$30,$EJ$29))))))</formula1>
    </dataValidation>
    <dataValidation type="list" allowBlank="1" showInputMessage="1" showErrorMessage="1" sqref="AC32">
      <formula1>IF($CI$30=$CL$29,$EC$29:$EC$32,IF($CI$30=$CM$29,$ED$29:$ED$31,IF(OR($CI$30=$CN$29,$CI$30=$CR$29),$EG$29:$EG$30,IF($CI$30=$CP$29,$EF$29:$EF$31,(IF($CI$30=$CQ$29,$EH$29:$EH$30,$EK$29))))))</formula1>
    </dataValidation>
    <dataValidation type="list" allowBlank="1" showInputMessage="1" showErrorMessage="1" sqref="AC33">
      <formula1>IF($CI$30=$CL$29,$EC$29:$EC$32,IF(OR($CI$30=$CN$29,$CI$30=$CR$29),$EG$29:$EG$30,IF($CI$30=$CP$29,$EF$29:$EF$31,$EL$29)))</formula1>
    </dataValidation>
    <dataValidation type="list" allowBlank="1" showInputMessage="1" showErrorMessage="1" error="Introduce un puesto que corresponda_x000a_" sqref="AC38">
      <formula1>IF($CI$38=$CL$37,$EC$37:$EC$40,IF($CI$38=$CM$37,$ED$37:$ED$39,IF(OR($CI$38=$CN$37,$CI$38=$CO$37),$EE$37:$EE$38,$EI$37)))</formula1>
    </dataValidation>
    <dataValidation type="list" allowBlank="1" showInputMessage="1" showErrorMessage="1" sqref="AC39">
      <formula1>IF($CI$38=$CL$37,$EC$37:$EC$40,IF($CI$38=$CM$37,$ED$37:$ED$39,IF(OR($CI$38=$CN$37,$CI$38=$CO$37),$EE$37:$EE$38,IF($CI$38=$CP$37,$EF$37:$EF$39,(IF($CI$38=$CQ$37,$EH$37:$EH$38,$EJ$37))))))</formula1>
    </dataValidation>
    <dataValidation type="list" allowBlank="1" showInputMessage="1" showErrorMessage="1" sqref="AC40">
      <formula1>IF($CI$38=$CL$37,$EC$37:$EC$40,IF($CI$38=$CM$37,$ED$37:$ED$39,IF(OR($CI$38=$CN$37,$CI$38=$CR$37),$EG$37:$EG$38,IF($CI$38=$CP$37,$EF$37:$EF$39,(IF($CI$38=$CQ$37,$EH$37:$EH$38,$EK$37))))))</formula1>
    </dataValidation>
    <dataValidation type="list" allowBlank="1" showInputMessage="1" showErrorMessage="1" sqref="AC41">
      <formula1>IF($CI$38=$CL$37,$EC$37:$EC$40,IF(OR($CI$38=$CN$37,$CI$38=$CR$37),$EG$37:$EG$38,IF($CI$38=$CP$37,$EF$37:$EF$39,$EL$37)))</formula1>
    </dataValidation>
    <dataValidation type="list" allowBlank="1" showInputMessage="1" showErrorMessage="1" error="Introduce un puesto que corresponda_x000a_" sqref="AC46">
      <formula1>IF($CI$46=$CL$45,$EC$45:$EC$48,IF($CI$46=$CM$45,$ED$45:$ED$47,IF(OR($CI$46=$CN$45,$CI$46=$CO$45),$EE$45:$EE$46,$EI$45)))</formula1>
    </dataValidation>
    <dataValidation type="list" allowBlank="1" showInputMessage="1" showErrorMessage="1" sqref="AC47">
      <formula1>IF($CI$46=$CL$45,$EC$45:$EC$48,IF($CI$46=$CM$45,$ED$45:$ED$47,IF(OR($CI$46=$CN$45,$CI$46=$CO$45),$EE$45:$EE$46,IF($CI$46=$CP$45,$EF$45:$EF$47,(IF($CI$46=$CQ$45,$EH$45:$EH$46,$EJ$45))))))</formula1>
    </dataValidation>
    <dataValidation type="list" allowBlank="1" showInputMessage="1" showErrorMessage="1" sqref="AC48">
      <formula1>IF($CI$46=$CL$45,$EC$45:$EC$48,IF($CI$46=$CM$45,$ED$45:$ED$47,IF(OR($CI$46=$CN$45,$CI$46=$CR$45),$EG$45:$EG$46,IF($CI$46=$CP$45,$EF$45:$EF$47,(IF($CI$46=$CQ$45,$EH$45:$EH$46,$EK$45))))))</formula1>
    </dataValidation>
    <dataValidation type="list" allowBlank="1" showInputMessage="1" showErrorMessage="1" sqref="AC49">
      <formula1>IF($CI$46=$CL$45,$EC$45:$EC$48,IF(OR($CI$46=$CN$45,$CI$46=$CR$45),$EG$45:$EG$46,IF($CI$46=$CP$45,$EF$45:$EF$47,$EL$45)))</formula1>
    </dataValidation>
    <dataValidation type="list" allowBlank="1" showInputMessage="1" showErrorMessage="1" sqref="Q62">
      <formula1>IF(CJ62=D64,D66:D71,IF(CJ62=J64,J66:J70,IF(CJ62=O64,O66:O69,IF(CJ62=S64,S66:S68,IF(CJ62=V64,V66:V67,X66)))))</formula1>
    </dataValidation>
    <dataValidation type="list" allowBlank="1" showInputMessage="1" showErrorMessage="1" sqref="Q57">
      <formula1>IF(CJ57=D64,D66:D71,IF(CJ57=E64,E66:E70,IF(CJ57=F64,F66:F69,IF(CJ57=G64,G66:G68,IF(CJ57=H64,H66:H67,I66)))))</formula1>
    </dataValidation>
    <dataValidation type="list" allowBlank="1" showInputMessage="1" showErrorMessage="1" sqref="Q58">
      <formula1>IF(CJ58=D64,D66:D71,IF(CJ58=E64,E66:E70,IF(CJ58=F64,F66:F69,IF(CJ58=G64,G66:G68,IF(CJ58=H64,H66:H67,IF(CJ58=J64,J66:J70,IF(CJ58=K64,K66:K69,IF(CJ58=L64,L66:L68,IF(CJ58=M64,M66:M67,N66)))))))))</formula1>
    </dataValidation>
    <dataValidation type="list" allowBlank="1" showInputMessage="1" showErrorMessage="1" sqref="Q59">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Equipos!$F$2:$F$7</xm:f>
          </x14:formula1>
          <xm:sqref>B4 B12 B20 B28 B36 B44</xm:sqref>
        </x14:dataValidation>
        <x14:dataValidation type="list" allowBlank="1" showInputMessage="1" showErrorMessage="1">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P139"/>
  <sheetViews>
    <sheetView workbookViewId="0">
      <selection activeCell="C6" sqref="C6"/>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853</v>
      </c>
      <c r="D1" s="14"/>
      <c r="E1" s="597" t="s">
        <v>854</v>
      </c>
      <c r="F1" s="597"/>
      <c r="G1" s="597"/>
      <c r="H1" s="597"/>
      <c r="I1" s="597"/>
      <c r="J1" s="597"/>
      <c r="K1" s="597"/>
      <c r="L1" s="597"/>
      <c r="M1" s="597"/>
      <c r="N1" s="597"/>
    </row>
    <row r="2" spans="1:14" ht="19.5" thickBot="1" x14ac:dyDescent="0.35">
      <c r="B2" s="15" t="s">
        <v>123</v>
      </c>
      <c r="C2" s="14"/>
      <c r="D2" s="14"/>
      <c r="E2" s="597"/>
      <c r="F2" s="597"/>
      <c r="G2" s="597"/>
      <c r="H2" s="597"/>
      <c r="I2" s="597"/>
      <c r="J2" s="597"/>
      <c r="K2" s="597"/>
      <c r="L2" s="597"/>
      <c r="M2" s="597"/>
      <c r="N2" s="597"/>
    </row>
    <row r="3" spans="1:14" ht="26.1" customHeight="1" thickBot="1" x14ac:dyDescent="0.3">
      <c r="B3" s="14" t="s">
        <v>95</v>
      </c>
      <c r="C3" s="16" t="str">
        <f>EUROCOPA!I108</f>
        <v>ESCRIBE TU NOMBRE</v>
      </c>
      <c r="D3" s="14"/>
      <c r="E3" s="602" t="s">
        <v>849</v>
      </c>
      <c r="F3" s="602"/>
      <c r="G3" s="602"/>
      <c r="H3" s="602"/>
      <c r="I3" s="602"/>
      <c r="J3" s="602"/>
      <c r="K3" s="602"/>
      <c r="L3" s="602"/>
      <c r="M3" s="602"/>
      <c r="N3" s="603"/>
    </row>
    <row r="4" spans="1:14" ht="45" customHeight="1" x14ac:dyDescent="0.25">
      <c r="B4" s="14"/>
      <c r="C4" s="17" t="s">
        <v>96</v>
      </c>
      <c r="D4" s="14"/>
      <c r="E4" s="601" t="s">
        <v>855</v>
      </c>
      <c r="F4" s="601"/>
      <c r="G4" s="601"/>
      <c r="H4" s="601"/>
      <c r="I4" s="601"/>
      <c r="J4" s="601"/>
      <c r="K4" s="601"/>
      <c r="L4" s="601"/>
      <c r="M4" s="601"/>
      <c r="N4" s="447"/>
    </row>
    <row r="5" spans="1:14" ht="18.95" customHeight="1" x14ac:dyDescent="0.3">
      <c r="B5" s="15" t="s">
        <v>16</v>
      </c>
      <c r="E5" s="604" t="s">
        <v>856</v>
      </c>
      <c r="F5" s="604"/>
      <c r="G5" s="604"/>
      <c r="H5" s="604"/>
      <c r="I5" s="604"/>
      <c r="J5" s="438"/>
      <c r="K5" s="438"/>
      <c r="L5" s="438"/>
      <c r="M5" s="446"/>
      <c r="N5" s="447"/>
    </row>
    <row r="6" spans="1:14" ht="15" customHeight="1" x14ac:dyDescent="0.25">
      <c r="A6" s="421" t="s">
        <v>831</v>
      </c>
      <c r="B6" t="str">
        <f ca="1">CONCATENATE(EUROCOPA!I4,"-",EUROCOPA!N4)</f>
        <v>Turquia-Italia</v>
      </c>
      <c r="C6" s="18" t="str">
        <f>CONCATENATE(IF(EUROCOPA!K4&gt;EUROCOPA!L4,1,IF(EUROCOPA!K4&lt;EUROCOPA!L4,2,IF(AND(EUROCOPA!K4=EUROCOPA!L4,EUROCOPA!K4&lt;&gt;"",EUROCOPA!L4&lt;&gt;""),"X",0))),"|",EUROCOPA!K4,"-",EUROCOPA!L4)</f>
        <v>2|0-3</v>
      </c>
      <c r="D6" s="590" t="s">
        <v>73</v>
      </c>
      <c r="E6" s="599" t="s">
        <v>861</v>
      </c>
      <c r="F6" s="600"/>
      <c r="G6" s="600"/>
      <c r="H6" s="600"/>
      <c r="I6" s="439"/>
      <c r="J6" s="1"/>
      <c r="K6" s="1"/>
      <c r="L6" s="1"/>
      <c r="M6" s="446"/>
      <c r="N6" s="447"/>
    </row>
    <row r="7" spans="1:14" ht="15" customHeight="1" x14ac:dyDescent="0.25">
      <c r="A7" s="421" t="s">
        <v>831</v>
      </c>
      <c r="B7" t="str">
        <f ca="1">CONCATENATE(EUROCOPA!I5,"-",EUROCOPA!N5)</f>
        <v>Gales-Suiza</v>
      </c>
      <c r="C7" s="18" t="str">
        <f>CONCATENATE(IF(EUROCOPA!K5&gt;EUROCOPA!L5,1,IF(EUROCOPA!K5&lt;EUROCOPA!L5,2,IF(AND(EUROCOPA!K5=EUROCOPA!L5,EUROCOPA!K5&lt;&gt;"",EUROCOPA!L5&lt;&gt;""),"X",0))),"|",EUROCOPA!K5,"-",EUROCOPA!L5)</f>
        <v>X|1-1</v>
      </c>
      <c r="D7" s="590"/>
      <c r="E7" s="595"/>
      <c r="F7" s="596"/>
      <c r="G7" s="596"/>
      <c r="H7" s="596"/>
      <c r="I7" s="440"/>
      <c r="J7" s="1"/>
      <c r="K7" s="1"/>
      <c r="L7" s="1"/>
      <c r="M7" s="446"/>
      <c r="N7" s="447"/>
    </row>
    <row r="8" spans="1:14" ht="15" customHeight="1" x14ac:dyDescent="0.25">
      <c r="A8" s="422" t="s">
        <v>832</v>
      </c>
      <c r="B8" t="str">
        <f ca="1">CONCATENATE(EUROCOPA!I12,"-",EUROCOPA!N12)</f>
        <v>Dinamarca-Finlandia</v>
      </c>
      <c r="C8" s="18" t="str">
        <f>CONCATENATE(IF(EUROCOPA!K12&gt;EUROCOPA!L12,1,IF(EUROCOPA!K12&lt;EUROCOPA!L12,2,IF(AND(EUROCOPA!K12=EUROCOPA!L12,EUROCOPA!K12&lt;&gt;"",EUROCOPA!L12&lt;&gt;""),"X",0))),"|",EUROCOPA!K12,"-",EUROCOPA!L12)</f>
        <v>2|0-1</v>
      </c>
      <c r="D8" s="590"/>
      <c r="E8" s="595"/>
      <c r="F8" s="596"/>
      <c r="G8" s="596"/>
      <c r="H8" s="596"/>
      <c r="I8" s="440"/>
      <c r="J8" s="1"/>
      <c r="K8" s="1"/>
      <c r="L8" s="1"/>
      <c r="M8" s="446"/>
      <c r="N8" s="447"/>
    </row>
    <row r="9" spans="1:14" ht="15" customHeight="1" x14ac:dyDescent="0.25">
      <c r="A9" s="422" t="s">
        <v>832</v>
      </c>
      <c r="B9" t="str">
        <f ca="1">CONCATENATE(EUROCOPA!I13,"-",EUROCOPA!N13)</f>
        <v>Bélgica-Rusia</v>
      </c>
      <c r="C9" s="18" t="str">
        <f>CONCATENATE(IF(EUROCOPA!K13&gt;EUROCOPA!L13,1,IF(EUROCOPA!K13&lt;EUROCOPA!L13,2,IF(AND(EUROCOPA!K13=EUROCOPA!L13,EUROCOPA!K13&lt;&gt;"",EUROCOPA!L13&lt;&gt;""),"X",0))),"|",EUROCOPA!K13,"-",EUROCOPA!L13)</f>
        <v>1|3-0</v>
      </c>
      <c r="D9" s="590"/>
      <c r="E9" s="595"/>
      <c r="F9" s="596"/>
      <c r="G9" s="596"/>
      <c r="H9" s="596"/>
      <c r="I9" s="440"/>
      <c r="J9" s="1"/>
      <c r="K9" s="1"/>
      <c r="L9" s="1"/>
      <c r="M9" s="446"/>
      <c r="N9" s="447"/>
    </row>
    <row r="10" spans="1:14" ht="15" customHeight="1" x14ac:dyDescent="0.25">
      <c r="A10" s="423" t="s">
        <v>833</v>
      </c>
      <c r="B10" t="str">
        <f ca="1">CONCATENATE(EUROCOPA!I20,"-",EUROCOPA!N20)</f>
        <v>Austria-Macedonia del Norte</v>
      </c>
      <c r="C10" s="19" t="str">
        <f>CONCATENATE(IF(EUROCOPA!K20&gt;EUROCOPA!L20,1,IF(EUROCOPA!K20&lt;EUROCOPA!L20,2,IF(AND(EUROCOPA!K20=EUROCOPA!L20,EUROCOPA!K20&lt;&gt;"",EUROCOPA!L20&lt;&gt;""),"X",0))),"|",EUROCOPA!K20,"-",EUROCOPA!L20)</f>
        <v>1|3-1</v>
      </c>
      <c r="D10" s="590"/>
      <c r="E10" s="1"/>
      <c r="F10" s="1"/>
      <c r="G10" s="1"/>
      <c r="H10" s="1"/>
      <c r="I10" s="440"/>
      <c r="J10" s="1"/>
      <c r="K10" s="1"/>
      <c r="L10" s="1"/>
      <c r="M10" s="446"/>
      <c r="N10" s="447"/>
    </row>
    <row r="11" spans="1:14" ht="15.95" customHeight="1" x14ac:dyDescent="0.25">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90"/>
      <c r="E11" s="1"/>
      <c r="F11" s="1"/>
      <c r="G11" s="1"/>
      <c r="H11" s="1"/>
      <c r="I11" s="440"/>
      <c r="J11" s="1"/>
      <c r="K11" s="1"/>
      <c r="L11" s="1"/>
      <c r="M11" s="446"/>
      <c r="N11" s="447"/>
    </row>
    <row r="12" spans="1:14" ht="15" customHeight="1" x14ac:dyDescent="0.25">
      <c r="A12" s="351" t="s">
        <v>834</v>
      </c>
      <c r="B12" t="str">
        <f ca="1">CONCATENATE(EUROCOPA!I28,"-",EUROCOPA!N28)</f>
        <v>Inglaterra-Croacia</v>
      </c>
      <c r="C12" s="19" t="str">
        <f>CONCATENATE(IF(EUROCOPA!K28&gt;EUROCOPA!L28,1,IF(EUROCOPA!K28&lt;EUROCOPA!L28,2,IF(AND(EUROCOPA!K28=EUROCOPA!L28,EUROCOPA!K28&lt;&gt;"",EUROCOPA!L28&lt;&gt;""),"X",0))),"|",EUROCOPA!K28,"-",EUROCOPA!L28)</f>
        <v>1|1-0</v>
      </c>
      <c r="D12" s="590"/>
      <c r="E12" s="1"/>
      <c r="F12" s="1"/>
      <c r="G12" s="1"/>
      <c r="H12" s="1"/>
      <c r="I12" s="440"/>
      <c r="J12" s="1"/>
      <c r="K12" s="1"/>
      <c r="L12" s="1"/>
      <c r="M12" s="446"/>
      <c r="N12" s="447"/>
    </row>
    <row r="13" spans="1:14" ht="15" customHeight="1" x14ac:dyDescent="0.25">
      <c r="A13" s="351" t="s">
        <v>834</v>
      </c>
      <c r="B13" t="str">
        <f ca="1">CONCATENATE(EUROCOPA!I29,"-",EUROCOPA!N29)</f>
        <v>Escocia-República Checa</v>
      </c>
      <c r="C13" s="19" t="str">
        <f>CONCATENATE(IF(EUROCOPA!K29&gt;EUROCOPA!L29,1,IF(EUROCOPA!K29&lt;EUROCOPA!L29,2,IF(AND(EUROCOPA!K29=EUROCOPA!L29,EUROCOPA!K29&lt;&gt;"",EUROCOPA!L29&lt;&gt;""),"X",0))),"|",EUROCOPA!K29,"-",EUROCOPA!L29)</f>
        <v>2|0-2</v>
      </c>
      <c r="D13" s="590"/>
      <c r="E13" s="1"/>
      <c r="F13" s="1"/>
      <c r="G13" s="1"/>
      <c r="H13" s="1"/>
      <c r="I13" s="440"/>
      <c r="J13" s="1"/>
      <c r="K13" s="1"/>
      <c r="L13" s="1"/>
      <c r="M13" s="446"/>
      <c r="N13" s="447"/>
    </row>
    <row r="14" spans="1:14" ht="15" customHeight="1" x14ac:dyDescent="0.25">
      <c r="A14" s="359" t="s">
        <v>835</v>
      </c>
      <c r="B14" t="str">
        <f ca="1">CONCATENATE(EUROCOPA!I36,"-",EUROCOPA!N36)</f>
        <v>Polonia-Eslovaquia</v>
      </c>
      <c r="C14" s="19" t="str">
        <f>CONCATENATE(IF(EUROCOPA!K36&gt;EUROCOPA!L36,1,IF(EUROCOPA!K36&lt;EUROCOPA!L36,2,IF(AND(EUROCOPA!K36=EUROCOPA!L36,EUROCOPA!K36&lt;&gt;"",EUROCOPA!L36&lt;&gt;""),"X",0))),"|",EUROCOPA!K36,"-",EUROCOPA!L36)</f>
        <v>2|1-2</v>
      </c>
      <c r="D14" s="590"/>
      <c r="E14" s="1"/>
      <c r="F14" s="1"/>
      <c r="G14" s="1"/>
      <c r="H14" s="1"/>
      <c r="I14" s="440"/>
      <c r="J14" s="1"/>
      <c r="K14" s="1"/>
      <c r="L14" s="1"/>
      <c r="M14" s="446"/>
      <c r="N14" s="447"/>
    </row>
    <row r="15" spans="1:14" ht="15" customHeight="1" x14ac:dyDescent="0.25">
      <c r="A15" s="359" t="s">
        <v>835</v>
      </c>
      <c r="B15" t="str">
        <f ca="1">CONCATENATE(EUROCOPA!I37,"-",EUROCOPA!N37)</f>
        <v>España-Suecia</v>
      </c>
      <c r="C15" s="19" t="str">
        <f>CONCATENATE(IF(EUROCOPA!K37&gt;EUROCOPA!L37,1,IF(EUROCOPA!K37&lt;EUROCOPA!L37,2,IF(AND(EUROCOPA!K37=EUROCOPA!L37,EUROCOPA!K37&lt;&gt;"",EUROCOPA!L37&lt;&gt;""),"X",0))),"|",EUROCOPA!K37,"-",EUROCOPA!L37)</f>
        <v>X|0-0</v>
      </c>
      <c r="D15" s="590"/>
      <c r="E15" s="1"/>
      <c r="F15" s="1"/>
      <c r="G15" s="1"/>
      <c r="H15" s="1"/>
      <c r="I15" s="440"/>
      <c r="J15" s="1"/>
      <c r="K15" s="1"/>
      <c r="L15" s="1"/>
      <c r="M15" s="446"/>
      <c r="N15" s="447"/>
    </row>
    <row r="16" spans="1:14" ht="15" customHeight="1" x14ac:dyDescent="0.25">
      <c r="A16" s="376" t="s">
        <v>836</v>
      </c>
      <c r="B16" t="str">
        <f ca="1">CONCATENATE(EUROCOPA!I44,"-",EUROCOPA!N44)</f>
        <v>Hungría-Portugal</v>
      </c>
      <c r="C16" s="19" t="str">
        <f>CONCATENATE(IF(EUROCOPA!K44&gt;EUROCOPA!L44,1,IF(EUROCOPA!K44&lt;EUROCOPA!L44,2,IF(AND(EUROCOPA!K44=EUROCOPA!L44,EUROCOPA!K44&lt;&gt;"",EUROCOPA!L44&lt;&gt;""),"X",0))),"|",EUROCOPA!K44,"-",EUROCOPA!L44)</f>
        <v>2|0-3</v>
      </c>
      <c r="D16" s="590"/>
      <c r="E16" s="1"/>
      <c r="F16" s="1"/>
      <c r="G16" s="1"/>
      <c r="H16" s="1"/>
      <c r="I16" s="440"/>
      <c r="J16" s="1"/>
      <c r="K16" s="1"/>
      <c r="L16" s="1"/>
      <c r="M16" s="446"/>
      <c r="N16" s="447"/>
    </row>
    <row r="17" spans="1:14" ht="15.95" customHeight="1" x14ac:dyDescent="0.25">
      <c r="A17" s="376" t="s">
        <v>836</v>
      </c>
      <c r="B17" t="str">
        <f ca="1">CONCATENATE(EUROCOPA!I45,"-",EUROCOPA!N45)</f>
        <v>Francia-Alemania</v>
      </c>
      <c r="C17" s="19" t="str">
        <f>CONCATENATE(IF(EUROCOPA!K45&gt;EUROCOPA!L45,1,IF(EUROCOPA!K45&lt;EUROCOPA!L45,2,IF(AND(EUROCOPA!K45=EUROCOPA!L45,EUROCOPA!K45&lt;&gt;"",EUROCOPA!L45&lt;&gt;""),"X",0))),"|",EUROCOPA!K45,"-",EUROCOPA!L45)</f>
        <v>1|1-0</v>
      </c>
      <c r="D17" s="591"/>
      <c r="E17" s="1"/>
      <c r="F17" s="1"/>
      <c r="G17" s="1"/>
      <c r="H17" s="1"/>
      <c r="I17" s="440"/>
      <c r="J17" s="1"/>
      <c r="K17" s="1"/>
      <c r="L17" s="1"/>
      <c r="M17" s="446"/>
      <c r="N17" s="447"/>
    </row>
    <row r="18" spans="1:14" ht="15" customHeight="1" x14ac:dyDescent="0.25">
      <c r="A18" s="421" t="s">
        <v>837</v>
      </c>
      <c r="B18" t="str">
        <f ca="1">CONCATENATE(EUROCOPA!I6,"-",EUROCOPA!N6)</f>
        <v>Turquia-Gales</v>
      </c>
      <c r="C18" s="18" t="str">
        <f>CONCATENATE(IF(EUROCOPA!K6&gt;EUROCOPA!L6,1,IF(EUROCOPA!K6&lt;EUROCOPA!L6,2,IF(AND(EUROCOPA!K6=EUROCOPA!L6,EUROCOPA!K6&lt;&gt;"",EUROCOPA!L6&lt;&gt;""),"X",0))),"|",EUROCOPA!K6,"-",EUROCOPA!L6)</f>
        <v>2|0-2</v>
      </c>
      <c r="D18" s="578" t="s">
        <v>74</v>
      </c>
      <c r="E18" s="595" t="s">
        <v>857</v>
      </c>
      <c r="F18" s="596"/>
      <c r="G18" s="596"/>
      <c r="H18" s="596"/>
      <c r="I18" s="440"/>
      <c r="J18" s="1"/>
      <c r="K18" s="1"/>
      <c r="L18" s="1"/>
      <c r="M18" s="446"/>
      <c r="N18" s="447"/>
    </row>
    <row r="19" spans="1:14" ht="15" customHeight="1" x14ac:dyDescent="0.25">
      <c r="A19" s="421" t="s">
        <v>837</v>
      </c>
      <c r="B19" t="str">
        <f ca="1">CONCATENATE(EUROCOPA!I7,"-",EUROCOPA!N7)</f>
        <v>Italia-Suiza</v>
      </c>
      <c r="C19" s="18" t="str">
        <f>CONCATENATE(IF(EUROCOPA!K7&gt;EUROCOPA!L7,1,IF(EUROCOPA!K7&lt;EUROCOPA!L7,2,IF(AND(EUROCOPA!K7=EUROCOPA!L7,EUROCOPA!K7&lt;&gt;"",EUROCOPA!L7&lt;&gt;""),"X",0))),"|",EUROCOPA!K7,"-",EUROCOPA!L7)</f>
        <v>1|3-0</v>
      </c>
      <c r="D19" s="578"/>
      <c r="E19" s="595"/>
      <c r="F19" s="596"/>
      <c r="G19" s="596"/>
      <c r="H19" s="596"/>
      <c r="I19" s="440"/>
      <c r="J19" s="1"/>
      <c r="K19" s="1"/>
      <c r="L19" s="1"/>
      <c r="M19" s="446"/>
      <c r="N19" s="447"/>
    </row>
    <row r="20" spans="1:14" ht="15" customHeight="1" x14ac:dyDescent="0.25">
      <c r="A20" s="422" t="s">
        <v>838</v>
      </c>
      <c r="B20" t="str">
        <f ca="1">CONCATENATE(EUROCOPA!I14,"-",EUROCOPA!N14)</f>
        <v>Finlandia-Rusia</v>
      </c>
      <c r="C20" s="18" t="str">
        <f>CONCATENATE(IF(EUROCOPA!K14&gt;EUROCOPA!L14,1,IF(EUROCOPA!K14&lt;EUROCOPA!L14,2,IF(AND(EUROCOPA!K14=EUROCOPA!L14,EUROCOPA!K14&lt;&gt;"",EUROCOPA!L14&lt;&gt;""),"X",0))),"|",EUROCOPA!K14,"-",EUROCOPA!L14)</f>
        <v>2|0-1</v>
      </c>
      <c r="D20" s="578"/>
      <c r="E20" s="595"/>
      <c r="F20" s="596"/>
      <c r="G20" s="596"/>
      <c r="H20" s="596"/>
      <c r="I20" s="440"/>
      <c r="J20" s="1"/>
      <c r="K20" s="1"/>
      <c r="L20" s="1"/>
      <c r="M20" s="446"/>
      <c r="N20" s="447"/>
    </row>
    <row r="21" spans="1:14" ht="15" customHeight="1" x14ac:dyDescent="0.25">
      <c r="A21" s="422" t="s">
        <v>838</v>
      </c>
      <c r="B21" t="str">
        <f ca="1">CONCATENATE(EUROCOPA!I15,"-",EUROCOPA!N15)</f>
        <v>Dinamarca-Bélgica</v>
      </c>
      <c r="C21" s="18" t="str">
        <f>CONCATENATE(IF(EUROCOPA!K15&gt;EUROCOPA!L15,1,IF(EUROCOPA!K15&lt;EUROCOPA!L15,2,IF(AND(EUROCOPA!K15=EUROCOPA!L15,EUROCOPA!K15&lt;&gt;"",EUROCOPA!L15&lt;&gt;""),"X",0))),"|",EUROCOPA!K15,"-",EUROCOPA!L15)</f>
        <v>2|1-2</v>
      </c>
      <c r="D21" s="578"/>
      <c r="E21" s="595"/>
      <c r="F21" s="596"/>
      <c r="G21" s="596"/>
      <c r="H21" s="596"/>
      <c r="I21" s="440"/>
      <c r="J21" s="1"/>
      <c r="K21" s="1"/>
      <c r="L21" s="1"/>
      <c r="M21" s="446"/>
      <c r="N21" s="447"/>
    </row>
    <row r="22" spans="1:14" ht="15" customHeight="1" x14ac:dyDescent="0.25">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578"/>
      <c r="E22" s="1"/>
      <c r="F22" s="1"/>
      <c r="G22" s="1"/>
      <c r="H22" s="1"/>
      <c r="I22" s="440"/>
      <c r="J22" s="1"/>
      <c r="K22" s="1"/>
      <c r="L22" s="1"/>
      <c r="M22" s="446"/>
      <c r="N22" s="447"/>
    </row>
    <row r="23" spans="1:14" ht="15.95" customHeight="1" x14ac:dyDescent="0.25">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578"/>
      <c r="E23" s="1"/>
      <c r="F23" s="1"/>
      <c r="G23" s="1"/>
      <c r="H23" s="1"/>
      <c r="I23" s="440"/>
      <c r="J23" s="1"/>
      <c r="K23" s="1"/>
      <c r="L23" s="1"/>
      <c r="M23" s="446"/>
      <c r="N23" s="447"/>
    </row>
    <row r="24" spans="1:14" ht="15" customHeight="1" x14ac:dyDescent="0.25">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578"/>
      <c r="E24" s="1"/>
      <c r="F24" s="1"/>
      <c r="G24" s="1"/>
      <c r="H24" s="1"/>
      <c r="I24" s="440"/>
      <c r="J24" s="1"/>
      <c r="K24" s="1"/>
      <c r="L24" s="1"/>
      <c r="M24" s="446"/>
      <c r="N24" s="447"/>
    </row>
    <row r="25" spans="1:14" ht="15" customHeight="1" x14ac:dyDescent="0.25">
      <c r="A25" s="351" t="s">
        <v>840</v>
      </c>
      <c r="B25" t="str">
        <f ca="1">CONCATENATE(EUROCOPA!I31,"-",EUROCOPA!N31)</f>
        <v>Inglaterra-Escocia</v>
      </c>
      <c r="C25" s="19" t="str">
        <f>CONCATENATE(IF(EUROCOPA!K31&gt;EUROCOPA!L31,1,IF(EUROCOPA!K31&lt;EUROCOPA!L31,2,IF(AND(EUROCOPA!K31=EUROCOPA!L31,EUROCOPA!K31&lt;&gt;"",EUROCOPA!L31&lt;&gt;""),"X",0))),"|",EUROCOPA!K31,"-",EUROCOPA!L31)</f>
        <v>X|0-0</v>
      </c>
      <c r="D25" s="578"/>
      <c r="E25" s="1"/>
      <c r="F25" s="1"/>
      <c r="G25" s="1"/>
      <c r="H25" s="1"/>
      <c r="I25" s="440"/>
      <c r="J25" s="1"/>
      <c r="K25" s="1"/>
      <c r="L25" s="1"/>
      <c r="M25" s="446"/>
      <c r="N25" s="447"/>
    </row>
    <row r="26" spans="1:14" ht="15" customHeight="1" x14ac:dyDescent="0.25">
      <c r="A26" s="359" t="s">
        <v>841</v>
      </c>
      <c r="B26" t="str">
        <f ca="1">CONCATENATE(EUROCOPA!I38,"-",EUROCOPA!N38)</f>
        <v>Suecia-Eslovaquia</v>
      </c>
      <c r="C26" s="19" t="str">
        <f>CONCATENATE(IF(EUROCOPA!K38&gt;EUROCOPA!L38,1,IF(EUROCOPA!K38&lt;EUROCOPA!L38,2,IF(AND(EUROCOPA!K38=EUROCOPA!L38,EUROCOPA!K38&lt;&gt;"",EUROCOPA!L38&lt;&gt;""),"X",0))),"|",EUROCOPA!K38,"-",EUROCOPA!L38)</f>
        <v>1|1-0</v>
      </c>
      <c r="D26" s="578"/>
      <c r="E26" s="1"/>
      <c r="F26" s="1"/>
      <c r="G26" s="1"/>
      <c r="H26" s="1"/>
      <c r="I26" s="440"/>
      <c r="J26" s="1"/>
      <c r="K26" s="1"/>
      <c r="L26" s="1"/>
      <c r="M26" s="446"/>
      <c r="N26" s="447"/>
    </row>
    <row r="27" spans="1:14" ht="15" customHeight="1" x14ac:dyDescent="0.25">
      <c r="A27" s="359" t="s">
        <v>841</v>
      </c>
      <c r="B27" t="str">
        <f ca="1">CONCATENATE(EUROCOPA!I39,"-",EUROCOPA!N39)</f>
        <v>España-Polonia</v>
      </c>
      <c r="C27" s="19" t="str">
        <f>CONCATENATE(IF(EUROCOPA!K39&gt;EUROCOPA!L39,1,IF(EUROCOPA!K39&lt;EUROCOPA!L39,2,IF(AND(EUROCOPA!K39=EUROCOPA!L39,EUROCOPA!K39&lt;&gt;"",EUROCOPA!L39&lt;&gt;""),"X",0))),"|",EUROCOPA!K39,"-",EUROCOPA!L39)</f>
        <v>X|1-1</v>
      </c>
      <c r="D27" s="578"/>
      <c r="E27" s="1"/>
      <c r="F27" s="1"/>
      <c r="G27" s="1"/>
      <c r="H27" s="1"/>
      <c r="I27" s="440"/>
      <c r="J27" s="1"/>
      <c r="K27" s="1"/>
      <c r="L27" s="1"/>
      <c r="M27" s="446"/>
      <c r="N27" s="447"/>
    </row>
    <row r="28" spans="1:14" ht="15" customHeight="1" x14ac:dyDescent="0.25">
      <c r="A28" s="376" t="s">
        <v>842</v>
      </c>
      <c r="B28" t="str">
        <f ca="1">CONCATENATE(EUROCOPA!I46,"-",EUROCOPA!N46)</f>
        <v>Hungría-Francia</v>
      </c>
      <c r="C28" s="19" t="str">
        <f>CONCATENATE(IF(EUROCOPA!K46&gt;EUROCOPA!L46,1,IF(EUROCOPA!K46&lt;EUROCOPA!L46,2,IF(AND(EUROCOPA!K46=EUROCOPA!L46,EUROCOPA!K46&lt;&gt;"",EUROCOPA!L46&lt;&gt;""),"X",0))),"|",EUROCOPA!K46,"-",EUROCOPA!L46)</f>
        <v>X|1-1</v>
      </c>
      <c r="D28" s="578"/>
      <c r="E28" s="1"/>
      <c r="F28" s="1"/>
      <c r="G28" s="1"/>
      <c r="H28" s="1"/>
      <c r="I28" s="440"/>
      <c r="J28" s="1"/>
      <c r="K28" s="1"/>
      <c r="L28" s="1"/>
      <c r="M28" s="446"/>
      <c r="N28" s="447"/>
    </row>
    <row r="29" spans="1:14" ht="15.95" customHeight="1" x14ac:dyDescent="0.25">
      <c r="A29" s="376" t="s">
        <v>842</v>
      </c>
      <c r="B29" t="str">
        <f ca="1">CONCATENATE(EUROCOPA!I47,"-",EUROCOPA!N47)</f>
        <v>Portugal-Alemania</v>
      </c>
      <c r="C29" s="19" t="str">
        <f>CONCATENATE(IF(EUROCOPA!K47&gt;EUROCOPA!L47,1,IF(EUROCOPA!K47&lt;EUROCOPA!L47,2,IF(AND(EUROCOPA!K47=EUROCOPA!L47,EUROCOPA!K47&lt;&gt;"",EUROCOPA!L47&lt;&gt;""),"X",0))),"|",EUROCOPA!K47,"-",EUROCOPA!L47)</f>
        <v>2|2-4</v>
      </c>
      <c r="D29" s="579"/>
      <c r="E29" s="1"/>
      <c r="F29" s="1"/>
      <c r="G29" s="1"/>
      <c r="H29" s="1"/>
      <c r="I29" s="440"/>
      <c r="J29" s="1"/>
      <c r="K29" s="1"/>
      <c r="L29" s="1"/>
      <c r="M29" s="446"/>
      <c r="N29" s="447"/>
    </row>
    <row r="30" spans="1:14" ht="15" customHeight="1" x14ac:dyDescent="0.25">
      <c r="A30" s="421" t="s">
        <v>843</v>
      </c>
      <c r="B30" t="str">
        <f ca="1">CONCATENATE(EUROCOPA!I8,"-",EUROCOPA!N8)</f>
        <v>Italia-Gales</v>
      </c>
      <c r="C30" s="18" t="str">
        <f>CONCATENATE(IF(EUROCOPA!K8&gt;EUROCOPA!L8,1,IF(EUROCOPA!K8&lt;EUROCOPA!L8,2,IF(AND(EUROCOPA!K8=EUROCOPA!L8,EUROCOPA!K8&lt;&gt;"",EUROCOPA!L8&lt;&gt;""),"X",0))),"|",EUROCOPA!K8,"-",EUROCOPA!L8)</f>
        <v>1|1-0</v>
      </c>
      <c r="D30" s="598" t="s">
        <v>75</v>
      </c>
      <c r="E30" s="595" t="s">
        <v>858</v>
      </c>
      <c r="F30" s="596"/>
      <c r="G30" s="596"/>
      <c r="H30" s="596"/>
      <c r="I30" s="440"/>
      <c r="J30" s="1"/>
      <c r="K30" s="1"/>
      <c r="L30" s="1"/>
      <c r="M30" s="446"/>
      <c r="N30" s="447"/>
    </row>
    <row r="31" spans="1:14" ht="15" customHeight="1" x14ac:dyDescent="0.25">
      <c r="A31" s="421" t="s">
        <v>843</v>
      </c>
      <c r="B31" t="str">
        <f ca="1">CONCATENATE(EUROCOPA!I9,"-",EUROCOPA!N9)</f>
        <v>Suiza-Turquia</v>
      </c>
      <c r="C31" s="18" t="str">
        <f>CONCATENATE(IF(EUROCOPA!K9&gt;EUROCOPA!L9,1,IF(EUROCOPA!K9&lt;EUROCOPA!L9,2,IF(AND(EUROCOPA!K9=EUROCOPA!L9,EUROCOPA!K9&lt;&gt;"",EUROCOPA!L9&lt;&gt;""),"X",0))),"|",EUROCOPA!K9,"-",EUROCOPA!L9)</f>
        <v>1|3-1</v>
      </c>
      <c r="D31" s="598"/>
      <c r="E31" s="595"/>
      <c r="F31" s="596"/>
      <c r="G31" s="596"/>
      <c r="H31" s="596"/>
      <c r="I31" s="440"/>
      <c r="J31" s="1"/>
      <c r="K31" s="1"/>
      <c r="L31" s="1"/>
      <c r="M31" s="446"/>
      <c r="N31" s="447"/>
    </row>
    <row r="32" spans="1:14" ht="15" customHeight="1" x14ac:dyDescent="0.25">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8"/>
      <c r="E32" s="595"/>
      <c r="F32" s="596"/>
      <c r="G32" s="596"/>
      <c r="H32" s="596"/>
      <c r="I32" s="440"/>
      <c r="J32" s="1"/>
      <c r="K32" s="1"/>
      <c r="L32" s="1"/>
      <c r="M32" s="446"/>
      <c r="N32" s="447"/>
    </row>
    <row r="33" spans="1:14" ht="15" customHeight="1" x14ac:dyDescent="0.25">
      <c r="A33" s="422" t="s">
        <v>844</v>
      </c>
      <c r="B33" t="str">
        <f ca="1">CONCATENATE(EUROCOPA!I17,"-",EUROCOPA!N17)</f>
        <v>Rusia-Dinamarca</v>
      </c>
      <c r="C33" s="18" t="str">
        <f>CONCATENATE(IF(EUROCOPA!K17&gt;EUROCOPA!L17,1,IF(EUROCOPA!K17&lt;EUROCOPA!L17,2,IF(AND(EUROCOPA!K17=EUROCOPA!L17,EUROCOPA!K17&lt;&gt;"",EUROCOPA!L17&lt;&gt;""),"X",0))),"|",EUROCOPA!K17,"-",EUROCOPA!L17)</f>
        <v>2|1-4</v>
      </c>
      <c r="D33" s="598"/>
      <c r="E33" s="595"/>
      <c r="F33" s="596"/>
      <c r="G33" s="596"/>
      <c r="H33" s="596"/>
      <c r="I33" s="440"/>
      <c r="J33" s="1"/>
      <c r="K33" s="1"/>
      <c r="L33" s="1"/>
      <c r="M33" s="446"/>
      <c r="N33" s="447"/>
    </row>
    <row r="34" spans="1:14" ht="15" customHeight="1" x14ac:dyDescent="0.25">
      <c r="A34" s="423" t="s">
        <v>845</v>
      </c>
      <c r="B34" t="str">
        <f ca="1">CONCATENATE(EUROCOPA!I24,"-",EUROCOPA!N24)</f>
        <v>Ucrania-Austria</v>
      </c>
      <c r="C34" s="19" t="str">
        <f>CONCATENATE(IF(EUROCOPA!K24&gt;EUROCOPA!L24,1,IF(EUROCOPA!K24&lt;EUROCOPA!L24,2,IF(AND(EUROCOPA!K24=EUROCOPA!L24,EUROCOPA!K24&lt;&gt;"",EUROCOPA!L24&lt;&gt;""),"X",0))),"|",EUROCOPA!K24,"-",EUROCOPA!L24)</f>
        <v>2|0-1</v>
      </c>
      <c r="D34" s="598"/>
      <c r="E34" s="1"/>
      <c r="F34" s="1"/>
      <c r="G34" s="1"/>
      <c r="H34" s="1"/>
      <c r="I34" s="440"/>
      <c r="J34" s="1"/>
      <c r="K34" s="1"/>
      <c r="L34" s="1"/>
      <c r="M34" s="446"/>
      <c r="N34" s="447"/>
    </row>
    <row r="35" spans="1:14" ht="15.95" customHeight="1" x14ac:dyDescent="0.25">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2|0-3</v>
      </c>
      <c r="D35" s="598"/>
      <c r="E35" s="1"/>
      <c r="F35" s="1"/>
      <c r="G35" s="1"/>
      <c r="H35" s="1"/>
      <c r="I35" s="440"/>
      <c r="J35" s="1"/>
      <c r="K35" s="1"/>
      <c r="L35" s="1"/>
      <c r="M35" s="446"/>
      <c r="N35" s="447"/>
    </row>
    <row r="36" spans="1:14" ht="15" customHeight="1" x14ac:dyDescent="0.25">
      <c r="A36" s="351" t="s">
        <v>846</v>
      </c>
      <c r="B36" t="str">
        <f ca="1">CONCATENATE(EUROCOPA!I32,"-",EUROCOPA!N32)</f>
        <v>República Checa-Inglaterra</v>
      </c>
      <c r="C36" s="19" t="str">
        <f>CONCATENATE(IF(EUROCOPA!K32&gt;EUROCOPA!L32,1,IF(EUROCOPA!K32&lt;EUROCOPA!L32,2,IF(AND(EUROCOPA!K32=EUROCOPA!L32,EUROCOPA!K32&lt;&gt;"",EUROCOPA!L32&lt;&gt;""),"X",0))),"|",EUROCOPA!K32,"-",EUROCOPA!L32)</f>
        <v>2|0-1</v>
      </c>
      <c r="D36" s="598"/>
      <c r="E36" s="1"/>
      <c r="F36" s="1"/>
      <c r="G36" s="1"/>
      <c r="H36" s="1"/>
      <c r="I36" s="440"/>
      <c r="J36" s="1"/>
      <c r="K36" s="1"/>
      <c r="L36" s="1"/>
      <c r="M36" s="446"/>
      <c r="N36" s="447"/>
    </row>
    <row r="37" spans="1:14" ht="15" customHeight="1" x14ac:dyDescent="0.25">
      <c r="A37" s="351" t="s">
        <v>846</v>
      </c>
      <c r="B37" t="str">
        <f ca="1">CONCATENATE(EUROCOPA!I33,"-",EUROCOPA!N33)</f>
        <v>Croacia-Escocia</v>
      </c>
      <c r="C37" s="19" t="str">
        <f>CONCATENATE(IF(EUROCOPA!K33&gt;EUROCOPA!L33,1,IF(EUROCOPA!K33&lt;EUROCOPA!L33,2,IF(AND(EUROCOPA!K33=EUROCOPA!L33,EUROCOPA!K33&lt;&gt;"",EUROCOPA!L33&lt;&gt;""),"X",0))),"|",EUROCOPA!K33,"-",EUROCOPA!L33)</f>
        <v>1|3-1</v>
      </c>
      <c r="D37" s="598"/>
      <c r="E37" s="1"/>
      <c r="F37" s="1"/>
      <c r="G37" s="1"/>
      <c r="H37" s="1"/>
      <c r="I37" s="440"/>
      <c r="J37" s="1"/>
      <c r="K37" s="1"/>
      <c r="L37" s="1"/>
      <c r="M37" s="446"/>
      <c r="N37" s="447"/>
    </row>
    <row r="38" spans="1:14" ht="15" customHeight="1" x14ac:dyDescent="0.25">
      <c r="A38" s="359" t="s">
        <v>847</v>
      </c>
      <c r="B38" t="str">
        <f ca="1">CONCATENATE(EUROCOPA!I40,"-",EUROCOPA!N40)</f>
        <v>Suecia-Polonia</v>
      </c>
      <c r="C38" s="19" t="str">
        <f>CONCATENATE(IF(EUROCOPA!K40&gt;EUROCOPA!L40,1,IF(EUROCOPA!K40&lt;EUROCOPA!L40,2,IF(AND(EUROCOPA!K40=EUROCOPA!L40,EUROCOPA!K40&lt;&gt;"",EUROCOPA!L40&lt;&gt;""),"X",0))),"|",EUROCOPA!K40,"-",EUROCOPA!L40)</f>
        <v>1|3-2</v>
      </c>
      <c r="D38" s="598"/>
      <c r="E38" s="1"/>
      <c r="F38" s="1"/>
      <c r="G38" s="1"/>
      <c r="H38" s="1"/>
      <c r="I38" s="440"/>
      <c r="J38" s="1"/>
      <c r="K38" s="1"/>
      <c r="L38" s="1"/>
      <c r="M38" s="446"/>
      <c r="N38" s="447"/>
    </row>
    <row r="39" spans="1:14" ht="15" customHeight="1" x14ac:dyDescent="0.25">
      <c r="A39" s="359" t="s">
        <v>847</v>
      </c>
      <c r="B39" t="str">
        <f ca="1">CONCATENATE(EUROCOPA!I41,"-",EUROCOPA!N41)</f>
        <v>Eslovaquia-España</v>
      </c>
      <c r="C39" s="19" t="str">
        <f>CONCATENATE(IF(EUROCOPA!K41&gt;EUROCOPA!L41,1,IF(EUROCOPA!K41&lt;EUROCOPA!L41,2,IF(AND(EUROCOPA!K41=EUROCOPA!L41,EUROCOPA!K41&lt;&gt;"",EUROCOPA!L41&lt;&gt;""),"X",0))),"|",EUROCOPA!K41,"-",EUROCOPA!L41)</f>
        <v>2|0-5</v>
      </c>
      <c r="D39" s="598"/>
      <c r="E39" s="1"/>
      <c r="F39" s="1"/>
      <c r="G39" s="1"/>
      <c r="H39" s="1"/>
      <c r="I39" s="440"/>
      <c r="J39" s="1"/>
      <c r="K39" s="1"/>
      <c r="L39" s="1"/>
      <c r="M39" s="446"/>
      <c r="N39" s="447"/>
    </row>
    <row r="40" spans="1:14" ht="15" customHeight="1" x14ac:dyDescent="0.25">
      <c r="A40" s="376" t="s">
        <v>848</v>
      </c>
      <c r="B40" t="str">
        <f ca="1">CONCATENATE(EUROCOPA!I48,"-",EUROCOPA!N48)</f>
        <v>Alemania-Hungría</v>
      </c>
      <c r="C40" s="19" t="str">
        <f>CONCATENATE(IF(EUROCOPA!K48&gt;EUROCOPA!L48,1,IF(EUROCOPA!K48&lt;EUROCOPA!L48,2,IF(AND(EUROCOPA!K48=EUROCOPA!L48,EUROCOPA!K48&lt;&gt;"",EUROCOPA!L48&lt;&gt;""),"X",0))),"|",EUROCOPA!K48,"-",EUROCOPA!L48)</f>
        <v>X|2-2</v>
      </c>
      <c r="D40" s="598"/>
      <c r="E40" s="1"/>
      <c r="F40" s="1"/>
      <c r="G40" s="1"/>
      <c r="H40" s="1"/>
      <c r="I40" s="440"/>
      <c r="J40" s="1"/>
      <c r="K40" s="1"/>
      <c r="L40" s="1"/>
      <c r="M40" s="446"/>
      <c r="N40" s="447"/>
    </row>
    <row r="41" spans="1:14" ht="15.95" customHeight="1" x14ac:dyDescent="0.25">
      <c r="A41" s="376" t="s">
        <v>848</v>
      </c>
      <c r="B41" t="str">
        <f ca="1">CONCATENATE(EUROCOPA!I49,"-",EUROCOPA!N49)</f>
        <v>Portugal-Francia</v>
      </c>
      <c r="C41" s="19" t="str">
        <f>CONCATENATE(IF(EUROCOPA!K49&gt;EUROCOPA!L49,1,IF(EUROCOPA!K49&lt;EUROCOPA!L49,2,IF(AND(EUROCOPA!K49=EUROCOPA!L49,EUROCOPA!K49&lt;&gt;"",EUROCOPA!L49&lt;&gt;""),"X",0))),"|",EUROCOPA!K49,"-",EUROCOPA!L49)</f>
        <v>X|2-2</v>
      </c>
      <c r="D41" s="598"/>
      <c r="E41" s="1"/>
      <c r="F41" s="1"/>
      <c r="G41" s="1"/>
      <c r="H41" s="1"/>
      <c r="I41" s="440"/>
      <c r="J41" s="1"/>
      <c r="K41" s="1"/>
      <c r="L41" s="1"/>
      <c r="M41" s="446"/>
      <c r="N41" s="447"/>
    </row>
    <row r="42" spans="1:14" ht="15" customHeight="1" x14ac:dyDescent="0.25">
      <c r="A42" s="424"/>
      <c r="C42" s="18"/>
      <c r="D42" s="598"/>
      <c r="E42" s="1"/>
      <c r="F42" s="1"/>
      <c r="G42" s="1"/>
      <c r="H42" s="1"/>
      <c r="I42" s="440"/>
      <c r="J42" s="1"/>
      <c r="K42" s="1"/>
      <c r="L42" s="1"/>
      <c r="M42" s="446"/>
      <c r="N42" s="447"/>
    </row>
    <row r="43" spans="1:14" ht="18.95" customHeight="1" x14ac:dyDescent="0.3">
      <c r="A43" s="424"/>
      <c r="B43" s="15" t="s">
        <v>97</v>
      </c>
      <c r="C43" s="18"/>
      <c r="D43" s="598"/>
      <c r="E43" s="1"/>
      <c r="F43" s="1"/>
      <c r="G43" s="1"/>
      <c r="H43" s="1"/>
      <c r="I43" s="440"/>
      <c r="J43" s="1"/>
      <c r="K43" s="1"/>
      <c r="L43" s="1"/>
      <c r="M43" s="446"/>
      <c r="N43" s="447"/>
    </row>
    <row r="44" spans="1:14" ht="15" customHeight="1" x14ac:dyDescent="0.25">
      <c r="A44" s="585" t="s">
        <v>0</v>
      </c>
      <c r="B44" s="14" t="s">
        <v>98</v>
      </c>
      <c r="C44" s="18" t="str">
        <f ca="1">IF(SUM(EUROCOPA!$T$6:$T$9)=12,EUROCOPA!R6,B44)</f>
        <v>Italia</v>
      </c>
      <c r="D44" s="598"/>
      <c r="E44" s="1"/>
      <c r="F44" s="1"/>
      <c r="G44" s="1"/>
      <c r="H44" s="1"/>
      <c r="I44" s="440"/>
      <c r="J44" s="1"/>
      <c r="K44" s="1"/>
      <c r="L44" s="1"/>
      <c r="M44" s="446"/>
      <c r="N44" s="447"/>
    </row>
    <row r="45" spans="1:14" ht="15" customHeight="1" x14ac:dyDescent="0.25">
      <c r="A45" s="585"/>
      <c r="B45" s="14" t="s">
        <v>99</v>
      </c>
      <c r="C45" s="18" t="str">
        <f ca="1">IF(SUM(EUROCOPA!$T$6:$T$9)=12,EUROCOPA!R7,B45)</f>
        <v>Gales</v>
      </c>
      <c r="D45" s="598"/>
      <c r="E45" s="1"/>
      <c r="F45" s="1"/>
      <c r="G45" s="1"/>
      <c r="H45" s="1"/>
      <c r="I45" s="440"/>
      <c r="J45" s="1"/>
      <c r="K45" s="1"/>
      <c r="L45" s="1"/>
      <c r="M45" s="446"/>
      <c r="N45" s="447"/>
    </row>
    <row r="46" spans="1:14" ht="15" customHeight="1" x14ac:dyDescent="0.25">
      <c r="A46" s="585"/>
      <c r="B46" s="14" t="s">
        <v>100</v>
      </c>
      <c r="C46" s="18" t="str">
        <f ca="1">IF(SUM(EUROCOPA!$T$6:$T$9)=12,EUROCOPA!R8,B46)</f>
        <v>Suiza</v>
      </c>
      <c r="D46" s="598"/>
      <c r="E46" s="1"/>
      <c r="F46" s="1"/>
      <c r="G46" s="1"/>
      <c r="H46" s="1"/>
      <c r="I46" s="440"/>
      <c r="J46" s="1"/>
      <c r="K46" s="1"/>
      <c r="L46" s="1"/>
      <c r="M46" s="446"/>
      <c r="N46" s="447"/>
    </row>
    <row r="47" spans="1:14" ht="15" customHeight="1" x14ac:dyDescent="0.25">
      <c r="A47" s="585"/>
      <c r="B47" s="14" t="s">
        <v>101</v>
      </c>
      <c r="C47" s="18" t="str">
        <f ca="1">IF(SUM(EUROCOPA!$T$6:$T$9)=12,EUROCOPA!R9,B47)</f>
        <v>Turquia</v>
      </c>
      <c r="D47" s="598"/>
      <c r="E47" s="1"/>
      <c r="F47" s="1"/>
      <c r="G47" s="1"/>
      <c r="H47" s="1"/>
      <c r="I47" s="440"/>
      <c r="J47" s="1"/>
      <c r="K47" s="1"/>
      <c r="L47" s="1"/>
      <c r="M47" s="446"/>
      <c r="N47" s="447"/>
    </row>
    <row r="48" spans="1:14" ht="15" customHeight="1" x14ac:dyDescent="0.25">
      <c r="A48" s="586" t="s">
        <v>1</v>
      </c>
      <c r="B48" s="14" t="s">
        <v>102</v>
      </c>
      <c r="C48" s="18" t="str">
        <f ca="1">IF(SUM(EUROCOPA!$T$14:$T$17)=12,EUROCOPA!R14,B48)</f>
        <v>Bélgica</v>
      </c>
      <c r="D48" s="598"/>
      <c r="E48" s="1"/>
      <c r="F48" s="1"/>
      <c r="G48" s="1"/>
      <c r="H48" s="1"/>
      <c r="I48" s="440"/>
      <c r="J48" s="1"/>
      <c r="K48" s="1"/>
      <c r="L48" s="1"/>
      <c r="M48" s="446"/>
      <c r="N48" s="447"/>
    </row>
    <row r="49" spans="1:14" ht="15" customHeight="1" x14ac:dyDescent="0.25">
      <c r="A49" s="586"/>
      <c r="B49" s="14" t="s">
        <v>103</v>
      </c>
      <c r="C49" s="18" t="str">
        <f ca="1">IF(SUM(EUROCOPA!$T$14:$T$17)=12,EUROCOPA!R15,B49)</f>
        <v>Dinamarca</v>
      </c>
      <c r="D49" s="598"/>
      <c r="E49" s="1"/>
      <c r="F49" s="1"/>
      <c r="G49" s="1"/>
      <c r="H49" s="1"/>
      <c r="I49" s="440"/>
      <c r="J49" s="1"/>
      <c r="K49" s="1"/>
      <c r="L49" s="1"/>
      <c r="M49" s="446"/>
      <c r="N49" s="447"/>
    </row>
    <row r="50" spans="1:14" x14ac:dyDescent="0.25">
      <c r="A50" s="586"/>
      <c r="B50" s="14" t="s">
        <v>104</v>
      </c>
      <c r="C50" s="18" t="str">
        <f ca="1">IF(SUM(EUROCOPA!$T$14:$T$17)=12,EUROCOPA!R16,B50)</f>
        <v>Finlandia</v>
      </c>
      <c r="D50" s="598"/>
      <c r="E50" s="1"/>
      <c r="F50" s="1"/>
      <c r="G50" s="1"/>
      <c r="H50" s="1"/>
      <c r="I50" s="440"/>
      <c r="J50" s="1"/>
      <c r="K50" s="1"/>
      <c r="L50" s="1"/>
      <c r="M50" s="446"/>
      <c r="N50" s="447"/>
    </row>
    <row r="51" spans="1:14" x14ac:dyDescent="0.25">
      <c r="A51" s="586"/>
      <c r="B51" s="14" t="s">
        <v>105</v>
      </c>
      <c r="C51" s="18" t="str">
        <f ca="1">IF(SUM(EUROCOPA!$T$14:$T$17)=12,EUROCOPA!R17,B51)</f>
        <v>Rusia</v>
      </c>
      <c r="D51" s="598"/>
      <c r="E51" s="1"/>
      <c r="F51" s="1"/>
      <c r="G51" s="1"/>
      <c r="H51" s="1"/>
      <c r="I51" s="440"/>
      <c r="J51" s="1"/>
      <c r="K51" s="1"/>
      <c r="L51" s="1"/>
      <c r="M51" s="446"/>
      <c r="N51" s="447"/>
    </row>
    <row r="52" spans="1:14" x14ac:dyDescent="0.25">
      <c r="A52" s="587" t="s">
        <v>2</v>
      </c>
      <c r="B52" s="14" t="s">
        <v>106</v>
      </c>
      <c r="C52" s="18" t="str">
        <f ca="1">IF(SUM(EUROCOPA!$T$22:$T$25)=12,EUROCOPA!R22,B52)</f>
        <v>Países Bajos</v>
      </c>
      <c r="D52" s="598"/>
      <c r="E52" s="1"/>
      <c r="F52" s="1"/>
      <c r="G52" s="1"/>
      <c r="H52" s="1"/>
      <c r="I52" s="440"/>
      <c r="J52" s="1"/>
      <c r="K52" s="1"/>
      <c r="L52" s="1"/>
      <c r="M52" s="446"/>
      <c r="N52" s="447"/>
    </row>
    <row r="53" spans="1:14" x14ac:dyDescent="0.25">
      <c r="A53" s="587"/>
      <c r="B53" s="14" t="s">
        <v>107</v>
      </c>
      <c r="C53" s="18" t="str">
        <f ca="1">IF(SUM(EUROCOPA!$T$22:$T$25)=12,EUROCOPA!R23,B53)</f>
        <v>Austria</v>
      </c>
      <c r="D53" s="598"/>
      <c r="E53" s="1"/>
      <c r="F53" s="1"/>
      <c r="G53" s="1"/>
      <c r="H53" s="1"/>
      <c r="I53" s="440"/>
      <c r="J53" s="1"/>
      <c r="K53" s="1"/>
      <c r="L53" s="1"/>
      <c r="M53" s="446"/>
      <c r="N53" s="447"/>
    </row>
    <row r="54" spans="1:14" x14ac:dyDescent="0.25">
      <c r="A54" s="587"/>
      <c r="B54" s="14" t="s">
        <v>108</v>
      </c>
      <c r="C54" s="18" t="str">
        <f ca="1">IF(SUM(EUROCOPA!$T$22:$T$25)=12,EUROCOPA!R24,B54)</f>
        <v>Ucrania</v>
      </c>
      <c r="D54" s="598"/>
      <c r="E54" s="1"/>
      <c r="F54" s="1"/>
      <c r="G54" s="1"/>
      <c r="H54" s="1"/>
      <c r="I54" s="440"/>
      <c r="J54" s="1"/>
      <c r="K54" s="1"/>
      <c r="L54" s="1"/>
      <c r="M54" s="446"/>
      <c r="N54" s="447"/>
    </row>
    <row r="55" spans="1:14" x14ac:dyDescent="0.25">
      <c r="A55" s="587"/>
      <c r="B55" s="14" t="s">
        <v>109</v>
      </c>
      <c r="C55" s="18" t="str">
        <f ca="1">IF(SUM(EUROCOPA!$T$22:$T$25)=12,EUROCOPA!R25,B55)</f>
        <v>Macedonia del Norte</v>
      </c>
      <c r="D55" s="598"/>
      <c r="E55" s="1"/>
      <c r="F55" s="1"/>
      <c r="G55" s="1"/>
      <c r="H55" s="1"/>
      <c r="I55" s="440"/>
      <c r="J55" s="1"/>
      <c r="K55" s="1"/>
      <c r="L55" s="1"/>
      <c r="M55" s="446"/>
      <c r="N55" s="447"/>
    </row>
    <row r="56" spans="1:14" x14ac:dyDescent="0.25">
      <c r="A56" s="581" t="s">
        <v>128</v>
      </c>
      <c r="B56" s="14" t="s">
        <v>189</v>
      </c>
      <c r="C56" s="18" t="str">
        <f ca="1">IF(SUM(EUROCOPA!$T$30:$T$33)=12,EUROCOPA!R30,B56)</f>
        <v>Inglaterra</v>
      </c>
      <c r="D56" s="598"/>
      <c r="E56" s="1"/>
      <c r="F56" s="1"/>
      <c r="G56" s="1"/>
      <c r="H56" s="1"/>
      <c r="I56" s="440"/>
      <c r="J56" s="1"/>
      <c r="K56" s="1"/>
      <c r="L56" s="1"/>
      <c r="M56" s="446"/>
      <c r="N56" s="447"/>
    </row>
    <row r="57" spans="1:14" x14ac:dyDescent="0.25">
      <c r="A57" s="581"/>
      <c r="B57" s="14" t="s">
        <v>190</v>
      </c>
      <c r="C57" s="18" t="str">
        <f ca="1">IF(SUM(EUROCOPA!$T$30:$T$33)=12,EUROCOPA!R31,B57)</f>
        <v>Croacia</v>
      </c>
      <c r="D57" s="598"/>
      <c r="E57" s="1"/>
      <c r="F57" s="1"/>
      <c r="G57" s="1"/>
      <c r="H57" s="1"/>
      <c r="I57" s="440"/>
      <c r="J57" s="1"/>
      <c r="K57" s="1"/>
      <c r="L57" s="1"/>
      <c r="M57" s="446"/>
      <c r="N57" s="447"/>
    </row>
    <row r="58" spans="1:14" x14ac:dyDescent="0.25">
      <c r="A58" s="581"/>
      <c r="B58" s="14" t="s">
        <v>191</v>
      </c>
      <c r="C58" s="18" t="str">
        <f ca="1">IF(SUM(EUROCOPA!$T$30:$T$33)=12,EUROCOPA!R32,B58)</f>
        <v>República Checa</v>
      </c>
      <c r="D58" s="598"/>
      <c r="E58" s="1"/>
      <c r="F58" s="1"/>
      <c r="G58" s="1"/>
      <c r="H58" s="1"/>
      <c r="I58" s="440"/>
      <c r="J58" s="1"/>
      <c r="K58" s="1"/>
      <c r="L58" s="1"/>
      <c r="M58" s="446"/>
      <c r="N58" s="447"/>
    </row>
    <row r="59" spans="1:14" x14ac:dyDescent="0.25">
      <c r="A59" s="581"/>
      <c r="B59" s="14" t="s">
        <v>192</v>
      </c>
      <c r="C59" s="18" t="str">
        <f ca="1">IF(SUM(EUROCOPA!$T$30:$T$33)=12,EUROCOPA!R33,B59)</f>
        <v>Escocia</v>
      </c>
      <c r="D59" s="598"/>
      <c r="E59" s="1"/>
      <c r="F59" s="1"/>
      <c r="G59" s="1"/>
      <c r="H59" s="1"/>
      <c r="I59" s="440"/>
      <c r="J59" s="1"/>
      <c r="K59" s="1"/>
      <c r="L59" s="1"/>
      <c r="M59" s="446"/>
      <c r="N59" s="447"/>
    </row>
    <row r="60" spans="1:14" x14ac:dyDescent="0.25">
      <c r="A60" s="583" t="s">
        <v>3</v>
      </c>
      <c r="B60" s="14" t="s">
        <v>193</v>
      </c>
      <c r="C60" s="18" t="str">
        <f ca="1">IF(SUM(EUROCOPA!$T$38:$T$41)=12,EUROCOPA!R38,B60)</f>
        <v>Suecia</v>
      </c>
      <c r="D60" s="598"/>
      <c r="E60" s="1"/>
      <c r="F60" s="1"/>
      <c r="G60" s="1"/>
      <c r="H60" s="1"/>
      <c r="I60" s="440"/>
      <c r="J60" s="1"/>
      <c r="K60" s="1"/>
      <c r="L60" s="1"/>
      <c r="M60" s="446"/>
      <c r="N60" s="447"/>
    </row>
    <row r="61" spans="1:14" x14ac:dyDescent="0.25">
      <c r="A61" s="583"/>
      <c r="B61" s="14" t="s">
        <v>194</v>
      </c>
      <c r="C61" s="18" t="str">
        <f ca="1">IF(SUM(EUROCOPA!$T$38:$T$41)=12,EUROCOPA!R39,B61)</f>
        <v>España</v>
      </c>
      <c r="D61" s="598"/>
      <c r="E61" s="1"/>
      <c r="F61" s="1"/>
      <c r="G61" s="1"/>
      <c r="H61" s="1"/>
      <c r="I61" s="440"/>
      <c r="J61" s="1"/>
      <c r="K61" s="1"/>
      <c r="L61" s="1"/>
      <c r="M61" s="446"/>
      <c r="N61" s="447"/>
    </row>
    <row r="62" spans="1:14" x14ac:dyDescent="0.25">
      <c r="A62" s="583"/>
      <c r="B62" s="14" t="s">
        <v>195</v>
      </c>
      <c r="C62" s="18" t="str">
        <f ca="1">IF(SUM(EUROCOPA!$T$38:$T$41)=12,EUROCOPA!R40,B62)</f>
        <v>Eslovaquia</v>
      </c>
      <c r="D62" s="598"/>
      <c r="E62" s="1"/>
      <c r="F62" s="1"/>
      <c r="G62" s="1"/>
      <c r="H62" s="1"/>
      <c r="I62" s="440"/>
      <c r="J62" s="1"/>
      <c r="K62" s="1"/>
      <c r="L62" s="1"/>
      <c r="M62" s="446"/>
      <c r="N62" s="447"/>
    </row>
    <row r="63" spans="1:14" x14ac:dyDescent="0.25">
      <c r="A63" s="583"/>
      <c r="B63" s="14" t="s">
        <v>196</v>
      </c>
      <c r="C63" s="18" t="str">
        <f ca="1">IF(SUM(EUROCOPA!$T$38:$T$41)=12,EUROCOPA!R41,B63)</f>
        <v>Polonia</v>
      </c>
      <c r="D63" s="598"/>
      <c r="E63" s="1"/>
      <c r="F63" s="1"/>
      <c r="G63" s="1"/>
      <c r="H63" s="1"/>
      <c r="I63" s="440"/>
      <c r="J63" s="1"/>
      <c r="K63" s="1"/>
      <c r="L63" s="1"/>
      <c r="M63" s="446"/>
      <c r="N63" s="447"/>
    </row>
    <row r="64" spans="1:14" x14ac:dyDescent="0.25">
      <c r="A64" s="582" t="s">
        <v>4</v>
      </c>
      <c r="B64" s="14" t="s">
        <v>197</v>
      </c>
      <c r="C64" s="18" t="str">
        <f ca="1">IF(SUM(EUROCOPA!$T$46:$T$49)=12,EUROCOPA!R46,B64)</f>
        <v>Francia</v>
      </c>
      <c r="D64" s="598"/>
      <c r="E64" s="1"/>
      <c r="F64" s="1"/>
      <c r="G64" s="1"/>
      <c r="H64" s="1"/>
      <c r="I64" s="440"/>
      <c r="J64" s="1"/>
      <c r="K64" s="1"/>
      <c r="L64" s="1"/>
      <c r="M64" s="446"/>
      <c r="N64" s="447"/>
    </row>
    <row r="65" spans="1:14" x14ac:dyDescent="0.25">
      <c r="A65" s="582"/>
      <c r="B65" s="14" t="s">
        <v>198</v>
      </c>
      <c r="C65" s="18" t="str">
        <f ca="1">IF(SUM(EUROCOPA!$T$46:$T$49)=12,EUROCOPA!R47,B65)</f>
        <v>Alemania</v>
      </c>
      <c r="D65" s="598"/>
      <c r="E65" s="1"/>
      <c r="F65" s="1"/>
      <c r="G65" s="1"/>
      <c r="H65" s="1"/>
      <c r="I65" s="440"/>
      <c r="J65" s="1"/>
      <c r="K65" s="1"/>
      <c r="L65" s="1"/>
      <c r="M65" s="446"/>
      <c r="N65" s="447"/>
    </row>
    <row r="66" spans="1:14" x14ac:dyDescent="0.25">
      <c r="A66" s="582"/>
      <c r="B66" s="14" t="s">
        <v>199</v>
      </c>
      <c r="C66" s="18" t="str">
        <f ca="1">IF(SUM(EUROCOPA!$T$46:$T$49)=12,EUROCOPA!R48,B66)</f>
        <v>Portugal</v>
      </c>
      <c r="D66" s="598"/>
      <c r="E66" s="1"/>
      <c r="F66" s="1"/>
      <c r="G66" s="1"/>
      <c r="H66" s="1"/>
      <c r="I66" s="440"/>
      <c r="J66" s="1"/>
      <c r="K66" s="1"/>
      <c r="L66" s="1"/>
      <c r="M66" s="446"/>
      <c r="N66" s="447"/>
    </row>
    <row r="67" spans="1:14" x14ac:dyDescent="0.25">
      <c r="A67" s="582"/>
      <c r="B67" s="14" t="s">
        <v>200</v>
      </c>
      <c r="C67" s="18" t="str">
        <f ca="1">IF(SUM(EUROCOPA!$T$46:$T$49)=12,EUROCOPA!R49,B67)</f>
        <v>Hungría</v>
      </c>
      <c r="D67" s="598"/>
      <c r="E67" s="1"/>
      <c r="F67" s="1"/>
      <c r="G67" s="1"/>
      <c r="H67" s="1"/>
      <c r="I67" s="440"/>
      <c r="J67" s="1"/>
      <c r="K67" s="1"/>
      <c r="L67" s="1"/>
      <c r="M67" s="446"/>
      <c r="N67" s="447"/>
    </row>
    <row r="68" spans="1:14" x14ac:dyDescent="0.25">
      <c r="A68" s="425"/>
      <c r="B68" s="9"/>
      <c r="C68" s="400"/>
      <c r="D68" s="598"/>
      <c r="E68" s="1"/>
      <c r="F68" s="1"/>
      <c r="G68" s="1"/>
      <c r="H68" s="1"/>
      <c r="I68" s="440"/>
      <c r="J68" s="1"/>
      <c r="K68" s="1"/>
      <c r="L68" s="1"/>
      <c r="M68" s="446"/>
      <c r="N68" s="447"/>
    </row>
    <row r="69" spans="1:14" ht="18.75" x14ac:dyDescent="0.3">
      <c r="A69" s="425"/>
      <c r="B69" s="15" t="s">
        <v>201</v>
      </c>
      <c r="C69" s="400"/>
      <c r="D69" s="598"/>
      <c r="E69" s="1"/>
      <c r="F69" s="1"/>
      <c r="G69" s="1"/>
      <c r="H69" s="1"/>
      <c r="I69" s="440"/>
      <c r="J69" s="1"/>
      <c r="K69" s="1"/>
      <c r="L69" s="1"/>
      <c r="M69" s="446"/>
      <c r="N69" s="447"/>
    </row>
    <row r="70" spans="1:14" ht="15" customHeight="1" x14ac:dyDescent="0.25">
      <c r="A70" s="584" t="s">
        <v>167</v>
      </c>
      <c r="B70" s="14" t="s">
        <v>202</v>
      </c>
      <c r="C70" s="400" t="str">
        <f ca="1">EUROCOPA!I76</f>
        <v>Gales</v>
      </c>
      <c r="D70" s="598"/>
      <c r="E70" s="1"/>
      <c r="F70" s="1"/>
      <c r="G70" s="1"/>
      <c r="H70" s="1"/>
      <c r="I70" s="440"/>
      <c r="J70" s="1"/>
      <c r="K70" s="1"/>
      <c r="L70" s="1"/>
      <c r="M70" s="446"/>
      <c r="N70" s="447"/>
    </row>
    <row r="71" spans="1:14" ht="15" customHeight="1" x14ac:dyDescent="0.25">
      <c r="A71" s="584"/>
      <c r="B71" s="14" t="s">
        <v>202</v>
      </c>
      <c r="C71" s="400" t="str">
        <f ca="1">EUROCOPA!I77</f>
        <v>Italia</v>
      </c>
      <c r="D71" s="598"/>
      <c r="E71" s="1"/>
      <c r="F71" s="1"/>
      <c r="G71" s="1"/>
      <c r="H71" s="1"/>
      <c r="I71" s="440"/>
      <c r="J71" s="1"/>
      <c r="K71" s="1"/>
      <c r="L71" s="1"/>
      <c r="M71" s="446"/>
      <c r="N71" s="447"/>
    </row>
    <row r="72" spans="1:14" ht="15" customHeight="1" x14ac:dyDescent="0.25">
      <c r="A72" s="584"/>
      <c r="B72" s="14" t="s">
        <v>202</v>
      </c>
      <c r="C72" s="400" t="str">
        <f ca="1">EUROCOPA!I78</f>
        <v>Países Bajos</v>
      </c>
      <c r="D72" s="598"/>
      <c r="E72" s="1"/>
      <c r="F72" s="1"/>
      <c r="G72" s="1"/>
      <c r="H72" s="1"/>
      <c r="I72" s="440"/>
      <c r="J72" s="1"/>
      <c r="K72" s="1"/>
      <c r="L72" s="1"/>
      <c r="M72" s="446"/>
      <c r="N72" s="447"/>
    </row>
    <row r="73" spans="1:14" ht="15" customHeight="1" x14ac:dyDescent="0.25">
      <c r="A73" s="584"/>
      <c r="B73" s="14" t="s">
        <v>202</v>
      </c>
      <c r="C73" s="400" t="str">
        <f ca="1">EUROCOPA!I79</f>
        <v>Bélgica</v>
      </c>
      <c r="D73" s="598"/>
      <c r="E73" s="1"/>
      <c r="F73" s="1"/>
      <c r="G73" s="1"/>
      <c r="H73" s="1"/>
      <c r="I73" s="440"/>
      <c r="J73" s="1"/>
      <c r="K73" s="1"/>
      <c r="L73" s="1"/>
      <c r="M73" s="446"/>
      <c r="N73" s="447"/>
    </row>
    <row r="74" spans="1:14" ht="15" customHeight="1" x14ac:dyDescent="0.25">
      <c r="A74" s="584"/>
      <c r="B74" s="14" t="s">
        <v>202</v>
      </c>
      <c r="C74" s="400" t="str">
        <f ca="1">EUROCOPA!I80</f>
        <v>Croacia</v>
      </c>
      <c r="D74" s="598"/>
      <c r="E74" s="1"/>
      <c r="F74" s="1"/>
      <c r="G74" s="1"/>
      <c r="H74" s="1"/>
      <c r="I74" s="440"/>
      <c r="J74" s="1"/>
      <c r="K74" s="1"/>
      <c r="L74" s="1"/>
      <c r="M74" s="446"/>
      <c r="N74" s="447"/>
    </row>
    <row r="75" spans="1:14" ht="15" customHeight="1" x14ac:dyDescent="0.25">
      <c r="A75" s="584"/>
      <c r="B75" s="14" t="s">
        <v>202</v>
      </c>
      <c r="C75" s="400" t="str">
        <f ca="1">EUROCOPA!I81</f>
        <v>Francia</v>
      </c>
      <c r="D75" s="598"/>
      <c r="E75" s="1"/>
      <c r="F75" s="1"/>
      <c r="G75" s="1"/>
      <c r="H75" s="1"/>
      <c r="I75" s="440"/>
      <c r="J75" s="1"/>
      <c r="K75" s="1"/>
      <c r="L75" s="1"/>
      <c r="M75" s="446"/>
      <c r="N75" s="447"/>
    </row>
    <row r="76" spans="1:14" ht="15" customHeight="1" x14ac:dyDescent="0.25">
      <c r="A76" s="584"/>
      <c r="B76" s="14" t="s">
        <v>202</v>
      </c>
      <c r="C76" s="400" t="str">
        <f ca="1">EUROCOPA!I82</f>
        <v>Inglaterra</v>
      </c>
      <c r="D76" s="598"/>
      <c r="E76" s="1"/>
      <c r="F76" s="1"/>
      <c r="G76" s="1"/>
      <c r="H76" s="1"/>
      <c r="I76" s="440"/>
      <c r="J76" s="1"/>
      <c r="K76" s="1"/>
      <c r="L76" s="1"/>
      <c r="M76" s="446"/>
      <c r="N76" s="447"/>
    </row>
    <row r="77" spans="1:14" ht="15" customHeight="1" x14ac:dyDescent="0.25">
      <c r="A77" s="584"/>
      <c r="B77" s="14" t="s">
        <v>202</v>
      </c>
      <c r="C77" s="400" t="str">
        <f ca="1">EUROCOPA!I83</f>
        <v>Suecia</v>
      </c>
      <c r="D77" s="598"/>
      <c r="E77" s="1"/>
      <c r="F77" s="1"/>
      <c r="G77" s="1"/>
      <c r="H77" s="1"/>
      <c r="I77" s="440"/>
      <c r="J77" s="1"/>
      <c r="K77" s="1"/>
      <c r="L77" s="1"/>
      <c r="M77" s="446"/>
      <c r="N77" s="447"/>
    </row>
    <row r="78" spans="1:14" ht="15" customHeight="1" x14ac:dyDescent="0.25">
      <c r="A78" s="584"/>
      <c r="B78" s="14" t="s">
        <v>202</v>
      </c>
      <c r="C78" s="400" t="str">
        <f ca="1">EUROCOPA!N76</f>
        <v>Dinamarca</v>
      </c>
      <c r="D78" s="598"/>
      <c r="E78" s="1"/>
      <c r="F78" s="1"/>
      <c r="G78" s="1"/>
      <c r="H78" s="1"/>
      <c r="I78" s="440"/>
      <c r="J78" s="1"/>
      <c r="K78" s="1"/>
      <c r="L78" s="1"/>
      <c r="M78" s="446"/>
      <c r="N78" s="447"/>
    </row>
    <row r="79" spans="1:14" ht="15" customHeight="1" x14ac:dyDescent="0.25">
      <c r="A79" s="584"/>
      <c r="B79" s="14" t="s">
        <v>202</v>
      </c>
      <c r="C79" s="400" t="str">
        <f ca="1">EUROCOPA!N77</f>
        <v>Austria</v>
      </c>
      <c r="D79" s="598"/>
      <c r="E79" s="1"/>
      <c r="F79" s="1"/>
      <c r="G79" s="1"/>
      <c r="H79" s="1"/>
      <c r="I79" s="440"/>
      <c r="J79" s="1"/>
      <c r="K79" s="1"/>
      <c r="L79" s="1"/>
      <c r="M79" s="446"/>
      <c r="N79" s="447"/>
    </row>
    <row r="80" spans="1:14" ht="15" customHeight="1" x14ac:dyDescent="0.25">
      <c r="A80" s="584"/>
      <c r="B80" s="14" t="s">
        <v>202</v>
      </c>
      <c r="C80" s="400" t="str">
        <f ca="1">EUROCOPA!N78</f>
        <v>República Checa</v>
      </c>
      <c r="D80" s="598"/>
      <c r="E80" s="1"/>
      <c r="F80" s="1"/>
      <c r="G80" s="1"/>
      <c r="H80" s="1"/>
      <c r="I80" s="440"/>
      <c r="J80" s="1"/>
      <c r="K80" s="1"/>
      <c r="L80" s="1"/>
      <c r="M80" s="446"/>
      <c r="N80" s="447"/>
    </row>
    <row r="81" spans="1:14" ht="15" customHeight="1" x14ac:dyDescent="0.25">
      <c r="A81" s="584"/>
      <c r="B81" s="14" t="s">
        <v>202</v>
      </c>
      <c r="C81" s="400" t="str">
        <f ca="1">EUROCOPA!N79</f>
        <v>Portugal</v>
      </c>
      <c r="D81" s="598"/>
      <c r="E81" s="1"/>
      <c r="F81" s="1"/>
      <c r="G81" s="1"/>
      <c r="H81" s="1"/>
      <c r="I81" s="440"/>
      <c r="J81" s="1"/>
      <c r="K81" s="1"/>
      <c r="L81" s="1"/>
      <c r="M81" s="446"/>
      <c r="N81" s="447"/>
    </row>
    <row r="82" spans="1:14" ht="15" customHeight="1" x14ac:dyDescent="0.25">
      <c r="A82" s="584"/>
      <c r="B82" s="14" t="s">
        <v>202</v>
      </c>
      <c r="C82" s="400" t="str">
        <f ca="1">EUROCOPA!N80</f>
        <v>España</v>
      </c>
      <c r="D82" s="598"/>
      <c r="E82" s="1"/>
      <c r="F82" s="1"/>
      <c r="G82" s="1"/>
      <c r="H82" s="1"/>
      <c r="I82" s="440"/>
      <c r="J82" s="1"/>
      <c r="K82" s="1"/>
      <c r="L82" s="1"/>
      <c r="M82" s="446"/>
      <c r="N82" s="447"/>
    </row>
    <row r="83" spans="1:14" ht="15" customHeight="1" x14ac:dyDescent="0.25">
      <c r="A83" s="584"/>
      <c r="B83" s="14" t="s">
        <v>202</v>
      </c>
      <c r="C83" s="400" t="str">
        <f ca="1">EUROCOPA!N81</f>
        <v>Suiza</v>
      </c>
      <c r="D83" s="598"/>
      <c r="E83" s="1"/>
      <c r="F83" s="1"/>
      <c r="G83" s="1"/>
      <c r="H83" s="1"/>
      <c r="I83" s="440"/>
      <c r="J83" s="1"/>
      <c r="K83" s="1"/>
      <c r="L83" s="1"/>
      <c r="M83" s="446"/>
      <c r="N83" s="447"/>
    </row>
    <row r="84" spans="1:14" ht="15" customHeight="1" x14ac:dyDescent="0.25">
      <c r="A84" s="584"/>
      <c r="B84" s="14" t="s">
        <v>202</v>
      </c>
      <c r="C84" s="400" t="str">
        <f ca="1">EUROCOPA!N82</f>
        <v>Alemania</v>
      </c>
      <c r="D84" s="598"/>
      <c r="E84" s="1"/>
      <c r="F84" s="1"/>
      <c r="G84" s="1"/>
      <c r="H84" s="1"/>
      <c r="I84" s="440"/>
      <c r="J84" s="1"/>
      <c r="K84" s="1"/>
      <c r="L84" s="1"/>
      <c r="M84" s="446"/>
      <c r="N84" s="447"/>
    </row>
    <row r="85" spans="1:14" ht="15" customHeight="1" x14ac:dyDescent="0.25">
      <c r="A85" s="584"/>
      <c r="B85" s="14" t="s">
        <v>202</v>
      </c>
      <c r="C85" s="400" t="str">
        <f ca="1">EUROCOPA!N83</f>
        <v>Ucrania</v>
      </c>
      <c r="D85" s="598"/>
      <c r="E85" s="1"/>
      <c r="F85" s="1"/>
      <c r="G85" s="1"/>
      <c r="H85" s="1"/>
      <c r="I85" s="448"/>
      <c r="J85" s="1"/>
      <c r="K85" s="1"/>
      <c r="L85" s="1"/>
      <c r="M85" s="446"/>
      <c r="N85" s="447"/>
    </row>
    <row r="86" spans="1:14" ht="20.100000000000001" customHeight="1" x14ac:dyDescent="0.25">
      <c r="A86" s="425"/>
      <c r="B86" s="9"/>
      <c r="C86" s="400"/>
      <c r="D86" s="1"/>
      <c r="E86" s="606" t="s">
        <v>850</v>
      </c>
      <c r="F86" s="607"/>
      <c r="G86" s="607"/>
      <c r="H86" s="607"/>
      <c r="I86" s="607"/>
      <c r="J86" s="607"/>
      <c r="K86" s="607"/>
      <c r="L86" s="608"/>
      <c r="M86" s="430"/>
      <c r="N86" s="447"/>
    </row>
    <row r="87" spans="1:14" ht="23.1" customHeight="1" x14ac:dyDescent="0.3">
      <c r="A87" s="425"/>
      <c r="B87" s="15" t="s">
        <v>203</v>
      </c>
      <c r="C87" s="400"/>
      <c r="D87" s="1"/>
      <c r="E87" s="609" t="s">
        <v>859</v>
      </c>
      <c r="F87" s="604"/>
      <c r="G87" s="604"/>
      <c r="H87" s="604"/>
      <c r="I87" s="604"/>
      <c r="J87" s="604"/>
      <c r="K87" s="604"/>
      <c r="L87" s="610"/>
      <c r="M87" s="428"/>
      <c r="N87" s="447"/>
    </row>
    <row r="88" spans="1:14" ht="15" customHeight="1" x14ac:dyDescent="0.25">
      <c r="A88" s="584" t="s">
        <v>167</v>
      </c>
      <c r="B88" s="9" t="str">
        <f ca="1">CONCATENATE(EUROCOPA!I76,"-",EUROCOPA!N76)</f>
        <v>Gales-Dinamarca</v>
      </c>
      <c r="C88" s="400" t="str">
        <f ca="1">CONCATENATE(EUROCOPA!I76,"-",EUROCOPA!N76,"· ",IF(EUROCOPA!K76&gt;EUROCOPA!L76,1,IF(EUROCOPA!K76&lt;EUROCOPA!L76,2,IF(AND(EUROCOPA!K76=EUROCOPA!L76,EUROCOPA!K76&lt;&gt;"",EUROCOPA!L76&lt;&gt;""),"X",0))),"|",EUROCOPA!K76,"-",EUROCOPA!L76)</f>
        <v>Gales-Dinamarca· 1|2-1</v>
      </c>
      <c r="D88" s="580" t="s">
        <v>167</v>
      </c>
      <c r="E88" s="599" t="s">
        <v>851</v>
      </c>
      <c r="F88" s="600"/>
      <c r="G88" s="600"/>
      <c r="H88" s="600"/>
      <c r="I88" s="429"/>
      <c r="J88" s="1"/>
      <c r="K88" s="1"/>
      <c r="L88" s="1"/>
      <c r="M88" s="428"/>
      <c r="N88" s="447"/>
    </row>
    <row r="89" spans="1:14" ht="15" customHeight="1" x14ac:dyDescent="0.25">
      <c r="A89" s="584"/>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1|2-0</v>
      </c>
      <c r="D89" s="580"/>
      <c r="E89" s="595"/>
      <c r="F89" s="596"/>
      <c r="G89" s="596"/>
      <c r="H89" s="596"/>
      <c r="I89" s="429"/>
      <c r="J89" s="1"/>
      <c r="K89" s="1"/>
      <c r="L89" s="1"/>
      <c r="M89" s="428"/>
      <c r="N89" s="447"/>
    </row>
    <row r="90" spans="1:14" ht="15" customHeight="1" x14ac:dyDescent="0.25">
      <c r="A90" s="584"/>
      <c r="B90" s="9" t="str">
        <f ca="1">CONCATENATE(EUROCOPA!I78,"-",EUROCOPA!N78)</f>
        <v>Países Bajos-República Checa</v>
      </c>
      <c r="C90" s="400" t="str">
        <f ca="1">CONCATENATE(EUROCOPA!I78,"-",EUROCOPA!N78,"· ",IF(EUROCOPA!K78&gt;EUROCOPA!L78,1,IF(EUROCOPA!K78&lt;EUROCOPA!L78,2,IF(AND(EUROCOPA!K78=EUROCOPA!L78,EUROCOPA!K78&lt;&gt;"",EUROCOPA!L78&lt;&gt;""),"X",0))),"|",EUROCOPA!K78,"-",EUROCOPA!L78)</f>
        <v>Países Bajos-República Checa· 1|2-0</v>
      </c>
      <c r="D90" s="580"/>
      <c r="E90" s="595"/>
      <c r="F90" s="596"/>
      <c r="G90" s="596"/>
      <c r="H90" s="596"/>
      <c r="I90" s="429"/>
      <c r="J90" s="1"/>
      <c r="K90" s="1"/>
      <c r="L90" s="1"/>
      <c r="M90" s="428"/>
      <c r="N90" s="447"/>
    </row>
    <row r="91" spans="1:14" ht="15" customHeight="1" x14ac:dyDescent="0.25">
      <c r="A91" s="584"/>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1|2-1</v>
      </c>
      <c r="D91" s="580"/>
      <c r="E91" s="595"/>
      <c r="F91" s="596"/>
      <c r="G91" s="596"/>
      <c r="H91" s="596"/>
      <c r="I91" s="429"/>
      <c r="J91" s="1"/>
      <c r="K91" s="1"/>
      <c r="L91" s="1"/>
      <c r="M91" s="428"/>
      <c r="N91" s="447"/>
    </row>
    <row r="92" spans="1:14" ht="15" customHeight="1" x14ac:dyDescent="0.25">
      <c r="A92" s="584"/>
      <c r="B92" s="9" t="str">
        <f ca="1">CONCATENATE(EUROCOPA!I80,"-",EUROCOPA!N80)</f>
        <v>Croacia-España</v>
      </c>
      <c r="C92" s="400" t="str">
        <f ca="1">CONCATENATE(EUROCOPA!I80,"-",EUROCOPA!N80,"· ",IF(EUROCOPA!K80&gt;EUROCOPA!L80,1,IF(EUROCOPA!K80&lt;EUROCOPA!L80,2,IF(AND(EUROCOPA!K80=EUROCOPA!L80,EUROCOPA!K80&lt;&gt;"",EUROCOPA!L80&lt;&gt;""),"X",0))),"|",EUROCOPA!K80,"-",EUROCOPA!L80)</f>
        <v>Croacia-España· X|1-1</v>
      </c>
      <c r="D92" s="580"/>
      <c r="E92" s="1"/>
      <c r="F92" s="1"/>
      <c r="G92" s="1"/>
      <c r="H92" s="1"/>
      <c r="I92" s="429"/>
      <c r="J92" s="1"/>
      <c r="K92" s="1"/>
      <c r="L92" s="1"/>
      <c r="M92" s="428"/>
      <c r="N92" s="447"/>
    </row>
    <row r="93" spans="1:14" ht="15" customHeight="1" x14ac:dyDescent="0.25">
      <c r="A93" s="584"/>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1|2-0</v>
      </c>
      <c r="D93" s="580"/>
      <c r="E93" s="1"/>
      <c r="F93" s="1"/>
      <c r="G93" s="1"/>
      <c r="H93" s="1"/>
      <c r="I93" s="429"/>
      <c r="J93" s="1"/>
      <c r="K93" s="1"/>
      <c r="L93" s="1"/>
      <c r="M93" s="428"/>
      <c r="N93" s="447"/>
    </row>
    <row r="94" spans="1:14" ht="15" customHeight="1" x14ac:dyDescent="0.25">
      <c r="A94" s="584"/>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2|1-2</v>
      </c>
      <c r="D94" s="580"/>
      <c r="E94" s="1"/>
      <c r="F94" s="1"/>
      <c r="G94" s="1"/>
      <c r="H94" s="1"/>
      <c r="I94" s="429"/>
      <c r="J94" s="1"/>
      <c r="K94" s="1"/>
      <c r="L94" s="1"/>
      <c r="M94" s="428"/>
      <c r="N94" s="447"/>
    </row>
    <row r="95" spans="1:14" ht="15" customHeight="1" x14ac:dyDescent="0.25">
      <c r="A95" s="584"/>
      <c r="B95" s="9" t="str">
        <f ca="1">CONCATENATE(EUROCOPA!I83,"-",EUROCOPA!N83)</f>
        <v>Suecia-Ucrania</v>
      </c>
      <c r="C95" s="400" t="str">
        <f ca="1">CONCATENATE(EUROCOPA!I83,"-",EUROCOPA!N83,"· ",IF(EUROCOPA!K83&gt;EUROCOPA!L83,1,IF(EUROCOPA!K83&lt;EUROCOPA!L83,2,IF(AND(EUROCOPA!K83=EUROCOPA!L83,EUROCOPA!K83&lt;&gt;"",EUROCOPA!L83&lt;&gt;""),"X",0))),"|",EUROCOPA!K83,"-",EUROCOPA!L83)</f>
        <v>Suecia-Ucrania· 1|3-1</v>
      </c>
      <c r="D95" s="580"/>
      <c r="E95" s="1"/>
      <c r="F95" s="1"/>
      <c r="G95" s="1"/>
      <c r="H95" s="1"/>
      <c r="I95" s="429"/>
      <c r="J95" s="1"/>
      <c r="K95" s="1"/>
      <c r="L95" s="1"/>
      <c r="M95" s="428"/>
      <c r="N95" s="447"/>
    </row>
    <row r="96" spans="1:14" ht="15" customHeight="1" x14ac:dyDescent="0.25">
      <c r="A96" s="425"/>
      <c r="B96" s="9"/>
      <c r="C96" s="400"/>
      <c r="D96" s="580"/>
      <c r="E96" s="1"/>
      <c r="F96" s="1"/>
      <c r="G96" s="1"/>
      <c r="H96" s="1"/>
      <c r="I96" s="429"/>
      <c r="J96" s="1"/>
      <c r="K96" s="1"/>
      <c r="L96" s="1"/>
      <c r="M96" s="428"/>
      <c r="N96" s="447"/>
    </row>
    <row r="97" spans="1:14" ht="18.95" customHeight="1" x14ac:dyDescent="0.3">
      <c r="A97" s="424"/>
      <c r="B97" s="15" t="s">
        <v>110</v>
      </c>
      <c r="C97" s="18"/>
      <c r="D97" s="580"/>
      <c r="E97" s="1"/>
      <c r="F97" s="1"/>
      <c r="G97" s="1"/>
      <c r="H97" s="1"/>
      <c r="I97" s="429"/>
      <c r="J97" s="1"/>
      <c r="K97" s="1"/>
      <c r="L97" s="1"/>
      <c r="M97" s="428"/>
      <c r="N97" s="447"/>
    </row>
    <row r="98" spans="1:14" ht="15" customHeight="1" x14ac:dyDescent="0.25">
      <c r="A98" s="584" t="s">
        <v>83</v>
      </c>
      <c r="B98" s="14" t="s">
        <v>111</v>
      </c>
      <c r="C98" s="18" t="str">
        <f ca="1">EUROCOPA!I87</f>
        <v>Francia</v>
      </c>
      <c r="D98" s="580"/>
      <c r="E98" s="1"/>
      <c r="F98" s="1"/>
      <c r="G98" s="1"/>
      <c r="H98" s="1"/>
      <c r="I98" s="429"/>
      <c r="J98" s="1"/>
      <c r="K98" s="1"/>
      <c r="L98" s="1"/>
      <c r="M98" s="428"/>
      <c r="N98" s="447"/>
    </row>
    <row r="99" spans="1:14" ht="15" customHeight="1" x14ac:dyDescent="0.25">
      <c r="A99" s="584"/>
      <c r="B99" s="14" t="s">
        <v>111</v>
      </c>
      <c r="C99" s="18" t="str">
        <f ca="1">EUROCOPA!I88</f>
        <v>Bélgica</v>
      </c>
      <c r="D99" s="580"/>
      <c r="E99" s="1"/>
      <c r="F99" s="1"/>
      <c r="G99" s="1"/>
      <c r="H99" s="1"/>
      <c r="I99" s="429"/>
      <c r="J99" s="1"/>
      <c r="K99" s="1"/>
      <c r="L99" s="1"/>
      <c r="M99" s="428"/>
      <c r="N99" s="447"/>
    </row>
    <row r="100" spans="1:14" ht="15" customHeight="1" x14ac:dyDescent="0.25">
      <c r="A100" s="584"/>
      <c r="B100" s="14" t="s">
        <v>111</v>
      </c>
      <c r="C100" s="18" t="str">
        <f ca="1">EUROCOPA!I89</f>
        <v>Países Bajos</v>
      </c>
      <c r="D100" s="580"/>
      <c r="E100" s="1"/>
      <c r="F100" s="1"/>
      <c r="G100" s="1"/>
      <c r="H100" s="1"/>
      <c r="I100" s="429"/>
      <c r="J100" s="1"/>
      <c r="K100" s="1"/>
      <c r="L100" s="1"/>
      <c r="M100" s="428"/>
      <c r="N100" s="447"/>
    </row>
    <row r="101" spans="1:14" ht="15" customHeight="1" x14ac:dyDescent="0.25">
      <c r="A101" s="584"/>
      <c r="B101" s="14" t="s">
        <v>111</v>
      </c>
      <c r="C101" s="18" t="str">
        <f ca="1">EUROCOPA!I90</f>
        <v>Suecia</v>
      </c>
      <c r="D101" s="580"/>
      <c r="E101" s="1"/>
      <c r="F101" s="1"/>
      <c r="G101" s="1"/>
      <c r="H101" s="1"/>
      <c r="I101" s="429"/>
      <c r="J101" s="1"/>
      <c r="K101" s="1"/>
      <c r="L101" s="1"/>
      <c r="M101" s="428"/>
      <c r="N101" s="447"/>
    </row>
    <row r="102" spans="1:14" ht="15" customHeight="1" x14ac:dyDescent="0.25">
      <c r="A102" s="584"/>
      <c r="B102" s="14" t="s">
        <v>111</v>
      </c>
      <c r="C102" s="18" t="str">
        <f ca="1">EUROCOPA!N87</f>
        <v>España</v>
      </c>
      <c r="D102" s="580"/>
      <c r="E102" s="1"/>
      <c r="F102" s="1"/>
      <c r="G102" s="1"/>
      <c r="H102" s="1"/>
      <c r="I102" s="429"/>
      <c r="J102" s="1"/>
      <c r="K102" s="1"/>
      <c r="L102" s="1"/>
      <c r="M102" s="428"/>
      <c r="N102" s="447"/>
    </row>
    <row r="103" spans="1:14" ht="15" customHeight="1" x14ac:dyDescent="0.25">
      <c r="A103" s="584"/>
      <c r="B103" s="14" t="s">
        <v>111</v>
      </c>
      <c r="C103" s="18" t="str">
        <f ca="1">EUROCOPA!N88</f>
        <v>Italia</v>
      </c>
      <c r="D103" s="580"/>
      <c r="E103" s="1"/>
      <c r="F103" s="1"/>
      <c r="G103" s="1"/>
      <c r="H103" s="1"/>
      <c r="I103" s="429"/>
      <c r="J103" s="1"/>
      <c r="K103" s="1"/>
      <c r="L103" s="1"/>
      <c r="M103" s="428"/>
      <c r="N103" s="447"/>
    </row>
    <row r="104" spans="1:14" ht="15" customHeight="1" x14ac:dyDescent="0.25">
      <c r="A104" s="584"/>
      <c r="B104" s="14" t="s">
        <v>111</v>
      </c>
      <c r="C104" s="18" t="str">
        <f ca="1">EUROCOPA!N89</f>
        <v>Gales</v>
      </c>
      <c r="D104" s="580"/>
      <c r="E104" s="1"/>
      <c r="F104" s="1"/>
      <c r="G104" s="1"/>
      <c r="H104" s="1"/>
      <c r="I104" s="429"/>
      <c r="J104" s="1"/>
      <c r="K104" s="1"/>
      <c r="L104" s="1"/>
      <c r="M104" s="428"/>
      <c r="N104" s="447"/>
    </row>
    <row r="105" spans="1:14" ht="15" customHeight="1" x14ac:dyDescent="0.25">
      <c r="A105" s="584"/>
      <c r="B105" s="14" t="s">
        <v>111</v>
      </c>
      <c r="C105" s="18" t="str">
        <f ca="1">EUROCOPA!N90</f>
        <v>Alemania</v>
      </c>
      <c r="D105" s="58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112</v>
      </c>
      <c r="C107" s="18"/>
      <c r="D107" s="1"/>
      <c r="E107" s="1"/>
      <c r="F107" s="1"/>
      <c r="G107" s="1"/>
      <c r="H107" s="1"/>
      <c r="I107" s="431"/>
      <c r="J107" s="1"/>
      <c r="K107" s="1"/>
      <c r="L107" s="1"/>
      <c r="M107" s="428"/>
      <c r="N107" s="447"/>
    </row>
    <row r="108" spans="1:14" ht="15" customHeight="1" x14ac:dyDescent="0.25">
      <c r="A108" s="584" t="s">
        <v>83</v>
      </c>
      <c r="B108" t="str">
        <f ca="1">CONCATENATE(EUROCOPA!I87,"-",EUROCOPA!N87)</f>
        <v>Francia-España</v>
      </c>
      <c r="C108" s="20" t="str">
        <f ca="1">CONCATENATE(EUROCOPA!I87,"-",EUROCOPA!N87,"· ",IF(EUROCOPA!K87&gt;EUROCOPA!L87,1,IF(EUROCOPA!K87&lt;EUROCOPA!L87,2,IF(AND(EUROCOPA!K87=EUROCOPA!L87,EUROCOPA!K87&lt;&gt;"",EUROCOPA!L87&lt;&gt;""),"X",0))),"|",EUROCOPA!K87,"-",EUROCOPA!L87)</f>
        <v>Francia-España· 0|-</v>
      </c>
      <c r="D108" s="580" t="s">
        <v>83</v>
      </c>
      <c r="E108" s="595" t="s">
        <v>852</v>
      </c>
      <c r="F108" s="596"/>
      <c r="G108" s="596"/>
      <c r="H108" s="596"/>
      <c r="I108" s="429"/>
      <c r="J108" s="1"/>
      <c r="K108" s="1"/>
      <c r="L108" s="1"/>
      <c r="M108" s="428"/>
      <c r="N108" s="447"/>
    </row>
    <row r="109" spans="1:14" ht="15" customHeight="1" x14ac:dyDescent="0.25">
      <c r="A109" s="588"/>
      <c r="B109" t="str">
        <f ca="1">CONCATENATE(EUROCOPA!I88,"-",EUROCOPA!N88)</f>
        <v>Bélgica-Italia</v>
      </c>
      <c r="C109" s="20" t="str">
        <f ca="1">CONCATENATE(EUROCOPA!I88,"-",EUROCOPA!N88,"· ",IF(EUROCOPA!K88&gt;EUROCOPA!L88,1,IF(EUROCOPA!K88&lt;EUROCOPA!L88,2,IF(AND(EUROCOPA!K88=EUROCOPA!L88,EUROCOPA!K88&lt;&gt;"",EUROCOPA!L88&lt;&gt;""),"X",0))),"|",EUROCOPA!K88,"-",EUROCOPA!L88)</f>
        <v>Bélgica-Italia· 0|-</v>
      </c>
      <c r="D109" s="580"/>
      <c r="E109" s="595"/>
      <c r="F109" s="596"/>
      <c r="G109" s="596"/>
      <c r="H109" s="596"/>
      <c r="I109" s="429"/>
      <c r="J109" s="1"/>
      <c r="K109" s="1"/>
      <c r="L109" s="1"/>
      <c r="M109" s="428"/>
      <c r="N109" s="447"/>
    </row>
    <row r="110" spans="1:14" ht="15" customHeight="1" x14ac:dyDescent="0.25">
      <c r="A110" s="588"/>
      <c r="B110" t="str">
        <f ca="1">CONCATENATE(EUROCOPA!I89,"-",EUROCOPA!N89)</f>
        <v>Países Bajos-Gales</v>
      </c>
      <c r="C110" s="20" t="str">
        <f ca="1">CONCATENATE(EUROCOPA!I89,"-",EUROCOPA!N89,"· ",IF(EUROCOPA!K89&gt;EUROCOPA!L89,1,IF(EUROCOPA!K89&lt;EUROCOPA!L89,2,IF(AND(EUROCOPA!K89=EUROCOPA!L89,EUROCOPA!K89&lt;&gt;"",EUROCOPA!L89&lt;&gt;""),"X",0))),"|",EUROCOPA!K89,"-",EUROCOPA!L89)</f>
        <v>Países Bajos-Gales· 0|-</v>
      </c>
      <c r="D110" s="580"/>
      <c r="E110" s="595"/>
      <c r="F110" s="596"/>
      <c r="G110" s="596"/>
      <c r="H110" s="596"/>
      <c r="I110" s="429"/>
      <c r="J110" s="1"/>
      <c r="K110" s="1"/>
      <c r="L110" s="1"/>
      <c r="M110" s="428"/>
      <c r="N110" s="447"/>
    </row>
    <row r="111" spans="1:14" ht="15" customHeight="1" x14ac:dyDescent="0.25">
      <c r="A111" s="588"/>
      <c r="B111" t="str">
        <f ca="1">CONCATENATE(EUROCOPA!I90,"-",EUROCOPA!N90)</f>
        <v>Suecia-Alemania</v>
      </c>
      <c r="C111" s="20" t="str">
        <f ca="1">CONCATENATE(EUROCOPA!I90,"-",EUROCOPA!N90,"· ",IF(EUROCOPA!K90&gt;EUROCOPA!L90,1,IF(EUROCOPA!K90&lt;EUROCOPA!L90,2,IF(AND(EUROCOPA!K90=EUROCOPA!L90,EUROCOPA!K90&lt;&gt;"",EUROCOPA!L90&lt;&gt;""),"X",0))),"|",EUROCOPA!K90,"-",EUROCOPA!L90)</f>
        <v>Suecia-Alemania· 0|-</v>
      </c>
      <c r="D111" s="580"/>
      <c r="E111" s="595"/>
      <c r="F111" s="596"/>
      <c r="G111" s="596"/>
      <c r="H111" s="596"/>
      <c r="I111" s="429"/>
      <c r="J111" s="1"/>
      <c r="K111" s="1"/>
      <c r="L111" s="1"/>
      <c r="M111" s="428"/>
      <c r="N111" s="447"/>
    </row>
    <row r="112" spans="1:14" x14ac:dyDescent="0.25">
      <c r="A112" s="424"/>
      <c r="C112" s="18"/>
      <c r="D112" s="580"/>
      <c r="E112" s="1"/>
      <c r="F112" s="1"/>
      <c r="G112" s="1"/>
      <c r="H112" s="1"/>
      <c r="I112" s="429"/>
      <c r="J112" s="1"/>
      <c r="K112" s="1"/>
      <c r="L112" s="1"/>
      <c r="M112" s="428"/>
      <c r="N112" s="447"/>
    </row>
    <row r="113" spans="1:14" ht="18.75" x14ac:dyDescent="0.3">
      <c r="A113" s="424"/>
      <c r="B113" s="15" t="s">
        <v>113</v>
      </c>
      <c r="C113" s="18"/>
      <c r="D113" s="580"/>
      <c r="E113" s="1"/>
      <c r="F113" s="1"/>
      <c r="G113" s="1"/>
      <c r="H113" s="1"/>
      <c r="I113" s="429"/>
      <c r="J113" s="1"/>
      <c r="K113" s="1"/>
      <c r="L113" s="1"/>
      <c r="M113" s="428"/>
      <c r="N113" s="447"/>
    </row>
    <row r="114" spans="1:14" x14ac:dyDescent="0.25">
      <c r="A114" s="584" t="s">
        <v>84</v>
      </c>
      <c r="B114" s="14" t="s">
        <v>114</v>
      </c>
      <c r="C114" s="18" t="str">
        <f>EUROCOPA!I93</f>
        <v>W46</v>
      </c>
      <c r="D114" s="580"/>
      <c r="E114" s="1"/>
      <c r="F114" s="1"/>
      <c r="G114" s="1"/>
      <c r="H114" s="1"/>
      <c r="I114" s="429"/>
      <c r="J114" s="1"/>
      <c r="K114" s="1"/>
      <c r="L114" s="1"/>
      <c r="M114" s="428"/>
      <c r="N114" s="447"/>
    </row>
    <row r="115" spans="1:14" x14ac:dyDescent="0.25">
      <c r="A115" s="588"/>
      <c r="B115" s="14" t="s">
        <v>114</v>
      </c>
      <c r="C115" s="18" t="str">
        <f>EUROCOPA!I94</f>
        <v>W48</v>
      </c>
      <c r="D115" s="580"/>
      <c r="E115" s="1"/>
      <c r="F115" s="1"/>
      <c r="G115" s="1"/>
      <c r="H115" s="1"/>
      <c r="I115" s="429"/>
      <c r="J115" s="1"/>
      <c r="K115" s="1"/>
      <c r="L115" s="1"/>
      <c r="M115" s="428"/>
      <c r="N115" s="447"/>
    </row>
    <row r="116" spans="1:14" x14ac:dyDescent="0.25">
      <c r="A116" s="588"/>
      <c r="B116" s="14" t="s">
        <v>114</v>
      </c>
      <c r="C116" s="18" t="str">
        <f>EUROCOPA!N93</f>
        <v>W45</v>
      </c>
      <c r="D116" s="580"/>
      <c r="E116" s="1"/>
      <c r="F116" s="1"/>
      <c r="G116" s="1"/>
      <c r="H116" s="1"/>
      <c r="I116" s="429"/>
      <c r="J116" s="1"/>
      <c r="K116" s="1"/>
      <c r="L116" s="1"/>
      <c r="M116" s="428"/>
      <c r="N116" s="447"/>
    </row>
    <row r="117" spans="1:14" x14ac:dyDescent="0.25">
      <c r="A117" s="588"/>
      <c r="B117" s="14" t="s">
        <v>114</v>
      </c>
      <c r="C117" s="18" t="str">
        <f>EUROCOPA!N94</f>
        <v>W47</v>
      </c>
      <c r="D117" s="58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115</v>
      </c>
      <c r="C119" s="18"/>
      <c r="D119" s="1"/>
      <c r="E119" s="1"/>
      <c r="F119" s="1"/>
      <c r="G119" s="1"/>
      <c r="H119" s="1"/>
      <c r="I119" s="431"/>
      <c r="J119" s="1"/>
      <c r="K119" s="1"/>
      <c r="L119" s="1"/>
      <c r="M119" s="428"/>
      <c r="N119" s="447"/>
    </row>
    <row r="120" spans="1:14" ht="15" customHeight="1" x14ac:dyDescent="0.25">
      <c r="A120" s="589" t="s">
        <v>84</v>
      </c>
      <c r="B120" t="str">
        <f>CONCATENATE(EUROCOPA!I93,"-",EUROCOPA!N93)</f>
        <v>W46-W45</v>
      </c>
      <c r="C120" s="20" t="str">
        <f>CONCATENATE(EUROCOPA!I93,"-",EUROCOPA!N93,"· ",IF(EUROCOPA!K93&gt;EUROCOPA!L93,1,IF(EUROCOPA!K93&lt;EUROCOPA!L93,2,IF(AND(EUROCOPA!K93=EUROCOPA!L93,EUROCOPA!K93&lt;&gt;"",EUROCOPA!L93&lt;&gt;""),"X",0))),"|",EUROCOPA!K93,"-",EUROCOPA!L93)</f>
        <v>W46-W45· 0|-</v>
      </c>
      <c r="D120" s="580" t="s">
        <v>84</v>
      </c>
      <c r="E120" s="595" t="s">
        <v>869</v>
      </c>
      <c r="F120" s="596"/>
      <c r="G120" s="596"/>
      <c r="H120" s="596"/>
      <c r="I120" s="429"/>
      <c r="J120" s="1"/>
      <c r="K120" s="1"/>
      <c r="L120" s="1"/>
      <c r="M120" s="428"/>
      <c r="N120" s="447"/>
    </row>
    <row r="121" spans="1:14" ht="15" customHeight="1" x14ac:dyDescent="0.25">
      <c r="A121" s="589"/>
      <c r="B121" t="str">
        <f>CONCATENATE(EUROCOPA!I94,"-",EUROCOPA!N94)</f>
        <v>W48-W47</v>
      </c>
      <c r="C121" s="20" t="str">
        <f>CONCATENATE(EUROCOPA!I94,"-",EUROCOPA!N94,"· ",IF(EUROCOPA!K94&gt;EUROCOPA!L94,1,IF(EUROCOPA!K94&lt;EUROCOPA!L94,2,IF(AND(EUROCOPA!K94=EUROCOPA!L94,EUROCOPA!K94&lt;&gt;"",EUROCOPA!L94&lt;&gt;""),"X",0))),"|",EUROCOPA!K94,"-",EUROCOPA!L94)</f>
        <v>W48-W47· 0|-</v>
      </c>
      <c r="D121" s="580"/>
      <c r="E121" s="595"/>
      <c r="F121" s="596"/>
      <c r="G121" s="596"/>
      <c r="H121" s="596"/>
      <c r="I121" s="429"/>
      <c r="J121" s="1"/>
      <c r="K121" s="1"/>
      <c r="L121" s="1"/>
      <c r="M121" s="428"/>
      <c r="N121" s="447"/>
    </row>
    <row r="122" spans="1:14" ht="15" customHeight="1" x14ac:dyDescent="0.25">
      <c r="A122" s="424"/>
      <c r="C122" s="18"/>
      <c r="D122" s="580"/>
      <c r="E122" s="595"/>
      <c r="F122" s="596"/>
      <c r="G122" s="596"/>
      <c r="H122" s="596"/>
      <c r="I122" s="429"/>
      <c r="J122" s="1"/>
      <c r="K122" s="1"/>
      <c r="L122" s="1"/>
      <c r="M122" s="428"/>
      <c r="N122" s="447"/>
    </row>
    <row r="123" spans="1:14" ht="18.95" customHeight="1" x14ac:dyDescent="0.3">
      <c r="A123" s="424"/>
      <c r="B123" s="15" t="s">
        <v>116</v>
      </c>
      <c r="C123" s="18"/>
      <c r="D123" s="580"/>
      <c r="E123" s="595"/>
      <c r="F123" s="596"/>
      <c r="G123" s="596"/>
      <c r="H123" s="596"/>
      <c r="I123" s="429"/>
      <c r="J123" s="1"/>
      <c r="K123" s="1"/>
      <c r="L123" s="1"/>
      <c r="M123" s="428"/>
      <c r="N123" s="447"/>
    </row>
    <row r="124" spans="1:14" ht="21.95" customHeight="1" x14ac:dyDescent="0.25">
      <c r="A124" s="577" t="s">
        <v>4</v>
      </c>
      <c r="B124" s="14" t="s">
        <v>117</v>
      </c>
      <c r="C124" s="400" t="str">
        <f>EUROCOPA!I97</f>
        <v>W49</v>
      </c>
      <c r="D124" s="580"/>
      <c r="E124" s="1"/>
      <c r="F124" s="1"/>
      <c r="G124" s="1"/>
      <c r="H124" s="1"/>
      <c r="I124" s="429"/>
      <c r="J124" s="1"/>
      <c r="K124" s="1"/>
      <c r="L124" s="1"/>
      <c r="M124" s="428"/>
      <c r="N124" s="447"/>
    </row>
    <row r="125" spans="1:14" ht="15" customHeight="1" x14ac:dyDescent="0.25">
      <c r="A125" s="577"/>
      <c r="B125" s="14" t="s">
        <v>117</v>
      </c>
      <c r="C125" s="400" t="str">
        <f>EUROCOPA!N97</f>
        <v>W50</v>
      </c>
      <c r="D125" s="58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118</v>
      </c>
      <c r="C127" s="482"/>
      <c r="D127" s="1"/>
      <c r="E127" s="1"/>
      <c r="F127" s="1"/>
      <c r="G127" s="1"/>
      <c r="H127" s="1"/>
      <c r="I127" s="431"/>
      <c r="J127" s="1"/>
      <c r="K127" s="1"/>
      <c r="L127" s="1"/>
      <c r="M127" s="428"/>
      <c r="N127" s="447"/>
    </row>
    <row r="128" spans="1:14" ht="21" customHeight="1" x14ac:dyDescent="0.25">
      <c r="A128" s="426" t="s">
        <v>4</v>
      </c>
      <c r="B128" s="424" t="str">
        <f>CONCATENATE(EUROCOPA!I97,"-",EUROCOPA!N97)</f>
        <v>W49-W50</v>
      </c>
      <c r="C128" s="483" t="str">
        <f>CONCATENATE(EUROCOPA!I97,"-",EUROCOPA!N97,"· ",IF(EUROCOPA!K97&gt;EUROCOPA!L97,1,IF(EUROCOPA!K97&lt;EUROCOPA!L97,2,IF(AND(EUROCOPA!K97=EUROCOPA!L97,EUROCOPA!K97&lt;&gt;"",EUROCOPA!L97&lt;&gt;""),"X",0))),"|",EUROCOPA!K97,"-",EUROCOPA!L97)</f>
        <v>W49-W50· 0|-</v>
      </c>
      <c r="D128" s="592" t="s">
        <v>4</v>
      </c>
      <c r="E128" s="595" t="s">
        <v>870</v>
      </c>
      <c r="F128" s="596"/>
      <c r="G128" s="596"/>
      <c r="H128" s="596"/>
      <c r="I128" s="440"/>
      <c r="J128" s="1"/>
      <c r="K128" s="1"/>
      <c r="L128" s="1"/>
      <c r="M128" s="428"/>
      <c r="N128" s="447"/>
    </row>
    <row r="129" spans="1:14" ht="15" customHeight="1" x14ac:dyDescent="0.25">
      <c r="A129" s="424"/>
      <c r="B129" s="485"/>
      <c r="C129" s="482"/>
      <c r="D129" s="593"/>
      <c r="E129" s="595"/>
      <c r="F129" s="596"/>
      <c r="G129" s="596"/>
      <c r="H129" s="596"/>
      <c r="I129" s="440"/>
      <c r="J129" s="1"/>
      <c r="K129" s="1"/>
      <c r="L129" s="1"/>
      <c r="M129" s="428"/>
      <c r="N129" s="447"/>
    </row>
    <row r="130" spans="1:14" ht="18.95" customHeight="1" x14ac:dyDescent="0.3">
      <c r="A130" s="424"/>
      <c r="B130" s="484" t="s">
        <v>39</v>
      </c>
      <c r="C130" s="482"/>
      <c r="D130" s="593"/>
      <c r="E130" s="595"/>
      <c r="F130" s="596"/>
      <c r="G130" s="596"/>
      <c r="H130" s="596"/>
      <c r="I130" s="440"/>
      <c r="J130" s="1"/>
      <c r="K130" s="1"/>
      <c r="L130" s="1"/>
      <c r="M130" s="428"/>
      <c r="N130" s="447"/>
    </row>
    <row r="131" spans="1:14" ht="18.95" customHeight="1" x14ac:dyDescent="0.25">
      <c r="A131" s="427"/>
      <c r="B131" s="485" t="str">
        <f>EUROCOPA!E100</f>
        <v>Campeón</v>
      </c>
      <c r="C131" s="482" t="str">
        <f>EUROCOPA!I100</f>
        <v>WF</v>
      </c>
      <c r="D131" s="593"/>
      <c r="E131" s="595"/>
      <c r="F131" s="596"/>
      <c r="G131" s="596"/>
      <c r="H131" s="596"/>
      <c r="I131" s="440"/>
      <c r="J131" s="1"/>
      <c r="K131" s="1"/>
      <c r="L131" s="433"/>
      <c r="M131" s="444"/>
      <c r="N131" s="447"/>
    </row>
    <row r="132" spans="1:14" ht="15.95" customHeight="1" x14ac:dyDescent="0.25">
      <c r="A132" s="221"/>
      <c r="B132" s="485" t="str">
        <f>EUROCOPA!E101</f>
        <v>Subcampeón</v>
      </c>
      <c r="C132" s="482" t="str">
        <f>EUROCOPA!I101</f>
        <v>LF</v>
      </c>
      <c r="D132" s="594"/>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605" t="s">
        <v>860</v>
      </c>
      <c r="F133" s="605"/>
      <c r="G133" s="605"/>
      <c r="H133" s="605"/>
      <c r="I133" s="437"/>
      <c r="J133" s="437"/>
      <c r="K133" s="437"/>
      <c r="L133" s="437"/>
      <c r="M133" s="443"/>
      <c r="N133" s="447"/>
    </row>
    <row r="134" spans="1:14" ht="18.75" x14ac:dyDescent="0.25">
      <c r="A134" s="221"/>
      <c r="B134" s="14" t="str">
        <f>EUROCOPA!E105</f>
        <v>Mejor jugador del torneo</v>
      </c>
      <c r="C134" s="18" t="str">
        <f>EUROCOPA!I105</f>
        <v>Escribe un jugador</v>
      </c>
      <c r="D134" s="427"/>
      <c r="E134" s="605"/>
      <c r="F134" s="605"/>
      <c r="G134" s="605"/>
      <c r="H134" s="605"/>
      <c r="I134" s="437"/>
      <c r="J134" s="437"/>
      <c r="K134" s="437"/>
      <c r="L134" s="437"/>
      <c r="M134" s="443"/>
      <c r="N134" s="447"/>
    </row>
    <row r="135" spans="1:14" ht="18.75" x14ac:dyDescent="0.25">
      <c r="A135" s="221"/>
      <c r="B135" s="14" t="str">
        <f>EUROCOPA!E106</f>
        <v>Mejor portero del torneo</v>
      </c>
      <c r="C135" s="18" t="str">
        <f>EUROCOPA!I106</f>
        <v>Escribe un jugador</v>
      </c>
      <c r="D135" s="427"/>
      <c r="E135" s="605"/>
      <c r="F135" s="605"/>
      <c r="G135" s="605"/>
      <c r="H135" s="605"/>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E133:H135"/>
    <mergeCell ref="E86:L86"/>
    <mergeCell ref="E87:L87"/>
    <mergeCell ref="E88:H91"/>
    <mergeCell ref="E108:H11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89</v>
      </c>
      <c r="F3" s="458" t="s">
        <v>205</v>
      </c>
      <c r="G3" s="458" t="s">
        <v>206</v>
      </c>
      <c r="J3" s="456"/>
      <c r="K3" s="456"/>
      <c r="L3" s="456">
        <v>1</v>
      </c>
      <c r="M3" s="461"/>
      <c r="N3" s="456"/>
      <c r="O3" s="456"/>
    </row>
    <row r="4" spans="1:15" x14ac:dyDescent="0.25">
      <c r="A4" s="462">
        <v>44358.875</v>
      </c>
      <c r="C4" s="458" t="s">
        <v>207</v>
      </c>
      <c r="F4" s="458" t="s">
        <v>218</v>
      </c>
      <c r="G4" s="458">
        <v>0</v>
      </c>
      <c r="J4" s="456" t="s">
        <v>88</v>
      </c>
      <c r="K4" s="456">
        <v>1</v>
      </c>
      <c r="L4" s="459" t="s">
        <v>135</v>
      </c>
      <c r="M4" s="456">
        <v>1</v>
      </c>
      <c r="N4" s="463">
        <v>0</v>
      </c>
      <c r="O4" s="458">
        <v>0</v>
      </c>
    </row>
    <row r="5" spans="1:15" x14ac:dyDescent="0.25">
      <c r="A5" s="462">
        <v>44359.625</v>
      </c>
      <c r="C5" s="458" t="s">
        <v>208</v>
      </c>
      <c r="F5" s="458" t="s">
        <v>219</v>
      </c>
      <c r="G5" s="458">
        <v>2</v>
      </c>
      <c r="J5" s="456"/>
      <c r="K5" s="456">
        <v>2</v>
      </c>
      <c r="L5" s="459" t="s">
        <v>143</v>
      </c>
      <c r="M5" s="456">
        <v>2</v>
      </c>
      <c r="N5" s="463">
        <v>0</v>
      </c>
      <c r="O5" s="458">
        <v>0</v>
      </c>
    </row>
    <row r="6" spans="1:15" x14ac:dyDescent="0.25">
      <c r="A6" s="462">
        <v>44363.75</v>
      </c>
      <c r="C6" s="458" t="s">
        <v>208</v>
      </c>
      <c r="F6" s="458" t="s">
        <v>209</v>
      </c>
      <c r="G6" s="458">
        <v>1</v>
      </c>
      <c r="J6" s="456"/>
      <c r="K6" s="456">
        <v>3</v>
      </c>
      <c r="L6" s="459" t="s">
        <v>227</v>
      </c>
      <c r="M6" s="456">
        <v>3</v>
      </c>
      <c r="N6" s="463">
        <v>0</v>
      </c>
      <c r="O6" s="458">
        <v>0</v>
      </c>
    </row>
    <row r="7" spans="1:15" x14ac:dyDescent="0.25">
      <c r="A7" s="462">
        <v>44363.875</v>
      </c>
      <c r="C7" s="458" t="s">
        <v>207</v>
      </c>
      <c r="F7" s="458" t="s">
        <v>210</v>
      </c>
      <c r="G7" s="458">
        <v>0</v>
      </c>
      <c r="J7" s="456"/>
      <c r="K7" s="456">
        <v>4</v>
      </c>
      <c r="L7" s="459" t="s">
        <v>138</v>
      </c>
      <c r="M7" s="456">
        <v>4</v>
      </c>
      <c r="N7" s="463">
        <v>0</v>
      </c>
      <c r="O7" s="458">
        <v>0</v>
      </c>
    </row>
    <row r="8" spans="1:15" x14ac:dyDescent="0.25">
      <c r="A8" s="462">
        <v>44367.75</v>
      </c>
      <c r="C8" s="458" t="s">
        <v>207</v>
      </c>
      <c r="F8" s="458" t="s">
        <v>211</v>
      </c>
      <c r="G8" s="458">
        <v>0</v>
      </c>
      <c r="J8" s="456"/>
      <c r="K8" s="456">
        <v>5</v>
      </c>
      <c r="L8" s="459" t="s">
        <v>811</v>
      </c>
      <c r="M8" s="456">
        <v>5</v>
      </c>
      <c r="N8" s="463">
        <v>0</v>
      </c>
      <c r="O8" s="458">
        <v>0</v>
      </c>
    </row>
    <row r="9" spans="1:15" x14ac:dyDescent="0.25">
      <c r="A9" s="462">
        <v>44367.75</v>
      </c>
      <c r="C9" s="458" t="s">
        <v>208</v>
      </c>
      <c r="F9" s="458" t="s">
        <v>212</v>
      </c>
      <c r="G9" s="458">
        <v>1</v>
      </c>
      <c r="J9" s="456"/>
      <c r="K9" s="456">
        <v>6</v>
      </c>
      <c r="L9" s="459" t="s">
        <v>863</v>
      </c>
      <c r="M9" s="456">
        <v>6</v>
      </c>
      <c r="N9" s="463">
        <v>4.1666666666666664E-2</v>
      </c>
      <c r="O9" s="458">
        <v>-1</v>
      </c>
    </row>
    <row r="10" spans="1:15" x14ac:dyDescent="0.25">
      <c r="F10" s="458" t="s">
        <v>213</v>
      </c>
      <c r="G10" s="458">
        <v>-1</v>
      </c>
      <c r="J10" s="456"/>
      <c r="K10" s="456">
        <v>7</v>
      </c>
      <c r="L10" s="459" t="s">
        <v>133</v>
      </c>
      <c r="M10" s="456">
        <v>7</v>
      </c>
      <c r="N10" s="463">
        <v>0</v>
      </c>
      <c r="O10" s="458">
        <v>0</v>
      </c>
    </row>
    <row r="11" spans="1:15" x14ac:dyDescent="0.25">
      <c r="A11" s="464" t="s">
        <v>90</v>
      </c>
      <c r="F11" s="458" t="s">
        <v>214</v>
      </c>
      <c r="G11" s="458">
        <v>-1</v>
      </c>
      <c r="J11" s="456"/>
      <c r="K11" s="456">
        <v>8</v>
      </c>
      <c r="L11" s="459" t="s">
        <v>87</v>
      </c>
      <c r="M11" s="456">
        <v>8</v>
      </c>
      <c r="N11" s="463">
        <v>0</v>
      </c>
      <c r="O11" s="458">
        <v>0</v>
      </c>
    </row>
    <row r="12" spans="1:15" x14ac:dyDescent="0.25">
      <c r="A12" s="462">
        <v>44359.75</v>
      </c>
      <c r="C12" s="458" t="s">
        <v>210</v>
      </c>
      <c r="F12" s="458" t="s">
        <v>215</v>
      </c>
      <c r="G12" s="458">
        <v>0</v>
      </c>
      <c r="J12" s="456"/>
      <c r="K12" s="456">
        <v>9</v>
      </c>
      <c r="L12" s="459" t="s">
        <v>812</v>
      </c>
      <c r="M12" s="456">
        <v>9</v>
      </c>
      <c r="N12" s="463">
        <v>4.1666666666666664E-2</v>
      </c>
      <c r="O12" s="458">
        <v>1</v>
      </c>
    </row>
    <row r="13" spans="1:15" x14ac:dyDescent="0.25">
      <c r="A13" s="462">
        <v>44359.875</v>
      </c>
      <c r="C13" s="458" t="s">
        <v>209</v>
      </c>
      <c r="F13" s="458" t="s">
        <v>216</v>
      </c>
      <c r="G13" s="458">
        <v>-1</v>
      </c>
      <c r="J13" s="465"/>
      <c r="K13" s="456">
        <v>10</v>
      </c>
      <c r="L13" s="459" t="s">
        <v>129</v>
      </c>
      <c r="M13" s="456">
        <v>10</v>
      </c>
      <c r="N13" s="463">
        <v>0</v>
      </c>
      <c r="O13" s="458">
        <v>0</v>
      </c>
    </row>
    <row r="14" spans="1:15" x14ac:dyDescent="0.25">
      <c r="A14" s="462">
        <v>44363.625</v>
      </c>
      <c r="C14" s="458" t="s">
        <v>209</v>
      </c>
      <c r="F14" s="458" t="s">
        <v>217</v>
      </c>
      <c r="G14" s="458">
        <v>0</v>
      </c>
      <c r="J14" s="456"/>
      <c r="K14" s="456">
        <v>11</v>
      </c>
      <c r="L14" s="459" t="s">
        <v>131</v>
      </c>
      <c r="M14" s="456">
        <v>11</v>
      </c>
      <c r="N14" s="463">
        <v>4.1666666666666664E-2</v>
      </c>
      <c r="O14" s="458">
        <v>-1</v>
      </c>
    </row>
    <row r="15" spans="1:15" x14ac:dyDescent="0.25">
      <c r="A15" s="462">
        <v>44364.75</v>
      </c>
      <c r="C15" s="458" t="s">
        <v>210</v>
      </c>
      <c r="F15" s="458" t="s">
        <v>220</v>
      </c>
      <c r="G15" s="458">
        <v>0</v>
      </c>
      <c r="J15" s="456"/>
      <c r="K15" s="456">
        <v>12</v>
      </c>
      <c r="L15" s="459" t="s">
        <v>251</v>
      </c>
      <c r="M15" s="456">
        <v>12</v>
      </c>
      <c r="N15" s="463">
        <v>0</v>
      </c>
      <c r="O15" s="458">
        <v>0</v>
      </c>
    </row>
    <row r="16" spans="1:15" x14ac:dyDescent="0.25">
      <c r="A16" s="462">
        <v>44368.875</v>
      </c>
      <c r="C16" s="458" t="s">
        <v>209</v>
      </c>
      <c r="K16" s="456">
        <v>13</v>
      </c>
      <c r="L16" s="459" t="s">
        <v>132</v>
      </c>
      <c r="M16" s="456">
        <v>13</v>
      </c>
      <c r="N16" s="463">
        <v>4.1666666666666664E-2</v>
      </c>
      <c r="O16" s="458">
        <v>-1</v>
      </c>
    </row>
    <row r="17" spans="1:15" x14ac:dyDescent="0.25">
      <c r="A17" s="462">
        <v>44368.875</v>
      </c>
      <c r="C17" s="458" t="s">
        <v>210</v>
      </c>
      <c r="K17" s="456">
        <v>14</v>
      </c>
      <c r="L17" s="459" t="s">
        <v>140</v>
      </c>
      <c r="M17" s="456">
        <v>14</v>
      </c>
      <c r="N17" s="463">
        <v>0</v>
      </c>
      <c r="O17" s="458">
        <v>0</v>
      </c>
    </row>
    <row r="18" spans="1:15" x14ac:dyDescent="0.25">
      <c r="K18" s="456">
        <v>15</v>
      </c>
      <c r="L18" s="459" t="s">
        <v>862</v>
      </c>
      <c r="M18" s="456">
        <v>15</v>
      </c>
      <c r="N18" s="463">
        <v>0</v>
      </c>
      <c r="O18" s="458">
        <v>0</v>
      </c>
    </row>
    <row r="19" spans="1:15" x14ac:dyDescent="0.25">
      <c r="A19" s="460" t="s">
        <v>10</v>
      </c>
      <c r="K19" s="456">
        <v>16</v>
      </c>
      <c r="L19" s="459" t="s">
        <v>822</v>
      </c>
      <c r="M19" s="456">
        <v>16</v>
      </c>
      <c r="N19" s="463">
        <v>0</v>
      </c>
      <c r="O19" s="458">
        <v>0</v>
      </c>
    </row>
    <row r="20" spans="1:15" x14ac:dyDescent="0.25">
      <c r="A20" s="462">
        <v>44360.75</v>
      </c>
      <c r="C20" s="458" t="s">
        <v>212</v>
      </c>
      <c r="K20" s="456">
        <v>17</v>
      </c>
      <c r="L20" s="459" t="s">
        <v>136</v>
      </c>
      <c r="M20" s="456">
        <v>17</v>
      </c>
      <c r="N20" s="463">
        <v>0</v>
      </c>
      <c r="O20" s="458">
        <v>0</v>
      </c>
    </row>
    <row r="21" spans="1:15" x14ac:dyDescent="0.25">
      <c r="A21" s="462">
        <v>44360.875</v>
      </c>
      <c r="C21" s="458" t="s">
        <v>211</v>
      </c>
      <c r="K21" s="456">
        <v>18</v>
      </c>
      <c r="L21" s="459" t="s">
        <v>142</v>
      </c>
      <c r="M21" s="456">
        <v>18</v>
      </c>
      <c r="N21" s="463">
        <v>4.1666666666666664E-2</v>
      </c>
      <c r="O21" s="458">
        <v>-1</v>
      </c>
    </row>
    <row r="22" spans="1:15" x14ac:dyDescent="0.25">
      <c r="A22" s="462">
        <v>44364.625</v>
      </c>
      <c r="C22" s="458" t="s">
        <v>212</v>
      </c>
      <c r="K22" s="456">
        <v>19</v>
      </c>
      <c r="L22" s="459" t="s">
        <v>828</v>
      </c>
      <c r="M22" s="456">
        <v>19</v>
      </c>
      <c r="N22" s="463">
        <v>0</v>
      </c>
      <c r="O22" s="458">
        <v>0</v>
      </c>
    </row>
    <row r="23" spans="1:15" x14ac:dyDescent="0.25">
      <c r="A23" s="462">
        <v>44364.875</v>
      </c>
      <c r="C23" s="458" t="s">
        <v>211</v>
      </c>
      <c r="K23" s="456">
        <v>20</v>
      </c>
      <c r="L23" s="459" t="s">
        <v>134</v>
      </c>
      <c r="M23" s="456">
        <v>20</v>
      </c>
      <c r="N23" s="463">
        <v>8.3333333333333329E-2</v>
      </c>
      <c r="O23" s="458">
        <v>1</v>
      </c>
    </row>
    <row r="24" spans="1:15" x14ac:dyDescent="0.25">
      <c r="A24" s="462">
        <v>44368.75</v>
      </c>
      <c r="C24" s="458" t="s">
        <v>212</v>
      </c>
      <c r="K24" s="456">
        <v>21</v>
      </c>
      <c r="L24" s="459" t="s">
        <v>141</v>
      </c>
      <c r="M24" s="456">
        <v>21</v>
      </c>
      <c r="N24" s="463">
        <v>0</v>
      </c>
      <c r="O24" s="458">
        <v>0</v>
      </c>
    </row>
    <row r="25" spans="1:15" x14ac:dyDescent="0.25">
      <c r="A25" s="462">
        <v>44368.75</v>
      </c>
      <c r="C25" s="458" t="s">
        <v>211</v>
      </c>
      <c r="K25" s="456">
        <v>22</v>
      </c>
      <c r="L25" s="459" t="s">
        <v>130</v>
      </c>
      <c r="M25" s="456">
        <v>22</v>
      </c>
      <c r="N25" s="463">
        <v>0</v>
      </c>
      <c r="O25" s="458">
        <v>0</v>
      </c>
    </row>
    <row r="26" spans="1:15" x14ac:dyDescent="0.25">
      <c r="K26" s="456">
        <v>23</v>
      </c>
      <c r="L26" s="459" t="s">
        <v>871</v>
      </c>
      <c r="M26" s="456">
        <v>23</v>
      </c>
      <c r="N26" s="463">
        <v>8.3333333333333329E-2</v>
      </c>
      <c r="O26" s="458">
        <v>1</v>
      </c>
    </row>
    <row r="27" spans="1:15" x14ac:dyDescent="0.25">
      <c r="A27" s="460" t="s">
        <v>144</v>
      </c>
      <c r="K27" s="456">
        <v>24</v>
      </c>
      <c r="L27" s="459" t="s">
        <v>137</v>
      </c>
      <c r="M27" s="456">
        <v>24</v>
      </c>
      <c r="N27" s="463">
        <v>4.1666666666666664E-2</v>
      </c>
      <c r="O27" s="458">
        <v>1</v>
      </c>
    </row>
    <row r="28" spans="1:15" x14ac:dyDescent="0.25">
      <c r="A28" s="462">
        <v>44360.625</v>
      </c>
      <c r="C28" s="458" t="s">
        <v>213</v>
      </c>
    </row>
    <row r="29" spans="1:15" x14ac:dyDescent="0.25">
      <c r="A29" s="462">
        <v>44361.625</v>
      </c>
      <c r="C29" s="458" t="s">
        <v>214</v>
      </c>
    </row>
    <row r="30" spans="1:15" x14ac:dyDescent="0.25">
      <c r="A30" s="462">
        <v>44365.75</v>
      </c>
      <c r="C30" s="458" t="s">
        <v>214</v>
      </c>
    </row>
    <row r="31" spans="1:15" x14ac:dyDescent="0.25">
      <c r="A31" s="462">
        <v>44365.875</v>
      </c>
      <c r="C31" s="458" t="s">
        <v>213</v>
      </c>
    </row>
    <row r="32" spans="1:15" x14ac:dyDescent="0.25">
      <c r="A32" s="462">
        <v>44369.875</v>
      </c>
      <c r="C32" s="458" t="s">
        <v>213</v>
      </c>
    </row>
    <row r="33" spans="1:3" x14ac:dyDescent="0.25">
      <c r="A33" s="462">
        <v>44369.875</v>
      </c>
      <c r="C33" s="458" t="s">
        <v>213</v>
      </c>
    </row>
    <row r="35" spans="1:3" x14ac:dyDescent="0.25">
      <c r="A35" s="460" t="s">
        <v>145</v>
      </c>
    </row>
    <row r="36" spans="1:3" x14ac:dyDescent="0.25">
      <c r="A36" s="462">
        <v>44361.75</v>
      </c>
      <c r="C36" s="458" t="s">
        <v>216</v>
      </c>
    </row>
    <row r="37" spans="1:3" x14ac:dyDescent="0.25">
      <c r="A37" s="462">
        <v>44361.875</v>
      </c>
      <c r="C37" s="458" t="s">
        <v>215</v>
      </c>
    </row>
    <row r="38" spans="1:3" x14ac:dyDescent="0.25">
      <c r="A38" s="462">
        <v>44365.625</v>
      </c>
      <c r="C38" s="458" t="s">
        <v>216</v>
      </c>
    </row>
    <row r="39" spans="1:3" x14ac:dyDescent="0.25">
      <c r="A39" s="462">
        <v>44366.875</v>
      </c>
      <c r="C39" s="458" t="s">
        <v>215</v>
      </c>
    </row>
    <row r="40" spans="1:3" x14ac:dyDescent="0.25">
      <c r="A40" s="462">
        <v>44370.75</v>
      </c>
      <c r="C40" s="458" t="s">
        <v>216</v>
      </c>
    </row>
    <row r="41" spans="1:3" x14ac:dyDescent="0.25">
      <c r="A41" s="462">
        <v>44370.75</v>
      </c>
      <c r="C41" s="458" t="s">
        <v>215</v>
      </c>
    </row>
    <row r="43" spans="1:3" x14ac:dyDescent="0.25">
      <c r="A43" s="460" t="s">
        <v>9</v>
      </c>
    </row>
    <row r="44" spans="1:3" x14ac:dyDescent="0.25">
      <c r="A44" s="462">
        <v>44362.75</v>
      </c>
      <c r="C44" s="458" t="s">
        <v>220</v>
      </c>
    </row>
    <row r="45" spans="1:3" x14ac:dyDescent="0.25">
      <c r="A45" s="462">
        <v>44362.875</v>
      </c>
      <c r="C45" s="458" t="s">
        <v>217</v>
      </c>
    </row>
    <row r="46" spans="1:3" x14ac:dyDescent="0.25">
      <c r="A46" s="462">
        <v>44366.625</v>
      </c>
      <c r="C46" s="458" t="s">
        <v>220</v>
      </c>
    </row>
    <row r="47" spans="1:3" x14ac:dyDescent="0.25">
      <c r="A47" s="462">
        <v>44366.75</v>
      </c>
      <c r="C47" s="458" t="s">
        <v>217</v>
      </c>
    </row>
    <row r="48" spans="1:3" x14ac:dyDescent="0.25">
      <c r="A48" s="462">
        <v>44370.875</v>
      </c>
      <c r="C48" s="458" t="s">
        <v>217</v>
      </c>
    </row>
    <row r="49" spans="1:3" x14ac:dyDescent="0.25">
      <c r="A49" s="462">
        <v>44370.875</v>
      </c>
      <c r="C49" s="458" t="s">
        <v>220</v>
      </c>
    </row>
    <row r="65" spans="1:3" x14ac:dyDescent="0.25">
      <c r="A65" s="466" t="s">
        <v>188</v>
      </c>
    </row>
    <row r="66" spans="1:3" x14ac:dyDescent="0.25">
      <c r="A66" s="467">
        <v>44373.75</v>
      </c>
      <c r="C66" s="458" t="s">
        <v>211</v>
      </c>
    </row>
    <row r="67" spans="1:3" x14ac:dyDescent="0.25">
      <c r="A67" s="462">
        <v>44373.875</v>
      </c>
      <c r="C67" s="458" t="s">
        <v>213</v>
      </c>
    </row>
    <row r="68" spans="1:3" x14ac:dyDescent="0.25">
      <c r="A68" s="462">
        <v>44374.75</v>
      </c>
      <c r="C68" s="458" t="s">
        <v>220</v>
      </c>
    </row>
    <row r="69" spans="1:3" x14ac:dyDescent="0.25">
      <c r="A69" s="462">
        <v>44374.875</v>
      </c>
      <c r="C69" s="458" t="s">
        <v>215</v>
      </c>
    </row>
    <row r="70" spans="1:3" x14ac:dyDescent="0.25">
      <c r="A70" s="467">
        <v>44375.75</v>
      </c>
      <c r="C70" s="458" t="s">
        <v>222</v>
      </c>
    </row>
    <row r="71" spans="1:3" x14ac:dyDescent="0.25">
      <c r="A71" s="462">
        <v>44375.875</v>
      </c>
      <c r="C71" s="458" t="s">
        <v>221</v>
      </c>
    </row>
    <row r="72" spans="1:3" x14ac:dyDescent="0.25">
      <c r="A72" s="462">
        <v>44376.75</v>
      </c>
      <c r="C72" s="458" t="s">
        <v>216</v>
      </c>
    </row>
    <row r="73" spans="1:3" x14ac:dyDescent="0.25">
      <c r="A73" s="462">
        <v>44376.875</v>
      </c>
      <c r="C73" s="458" t="s">
        <v>214</v>
      </c>
    </row>
    <row r="77" spans="1:3" x14ac:dyDescent="0.25">
      <c r="A77" s="466" t="s">
        <v>187</v>
      </c>
    </row>
    <row r="78" spans="1:3" x14ac:dyDescent="0.25">
      <c r="A78" s="467">
        <v>44379.75</v>
      </c>
      <c r="C78" s="458" t="s">
        <v>223</v>
      </c>
    </row>
    <row r="79" spans="1:3" x14ac:dyDescent="0.25">
      <c r="A79" s="467">
        <v>44379.875</v>
      </c>
      <c r="C79" s="458" t="s">
        <v>217</v>
      </c>
    </row>
    <row r="80" spans="1:3" x14ac:dyDescent="0.25">
      <c r="A80" s="462">
        <v>44380.75</v>
      </c>
      <c r="C80" s="458" t="s">
        <v>219</v>
      </c>
    </row>
    <row r="81" spans="1:3" x14ac:dyDescent="0.25">
      <c r="A81" s="462">
        <v>44380.875</v>
      </c>
      <c r="C81" s="458" t="s">
        <v>218</v>
      </c>
    </row>
    <row r="83" spans="1:3" x14ac:dyDescent="0.25">
      <c r="A83" s="468" t="s">
        <v>91</v>
      </c>
    </row>
    <row r="84" spans="1:3" x14ac:dyDescent="0.25">
      <c r="A84" s="467">
        <v>44383.875</v>
      </c>
      <c r="C84" s="458" t="s">
        <v>213</v>
      </c>
    </row>
    <row r="85" spans="1:3" x14ac:dyDescent="0.25">
      <c r="A85" s="467">
        <v>44384.875</v>
      </c>
      <c r="C85" s="458" t="s">
        <v>213</v>
      </c>
    </row>
    <row r="87" spans="1:3" x14ac:dyDescent="0.25">
      <c r="A87" s="469" t="s">
        <v>4</v>
      </c>
    </row>
    <row r="88" spans="1:3" x14ac:dyDescent="0.25">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77</v>
      </c>
      <c r="B1" s="470" t="s">
        <v>78</v>
      </c>
      <c r="C1" s="470" t="s">
        <v>125</v>
      </c>
      <c r="D1" s="470" t="s">
        <v>15</v>
      </c>
      <c r="F1" s="457" t="s">
        <v>81</v>
      </c>
      <c r="H1" s="470"/>
      <c r="I1" s="470"/>
      <c r="K1" s="457" t="s">
        <v>275</v>
      </c>
    </row>
    <row r="2" spans="1:18 8826:8826" ht="15" customHeight="1" x14ac:dyDescent="0.25">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25">
      <c r="A3" s="471">
        <v>2</v>
      </c>
      <c r="B3" s="472" t="str">
        <f>VLOOKUP(Tabla3[[#This Row],[OK]],$G$2:$H$25,2,0)</f>
        <v>Italia</v>
      </c>
      <c r="C3" s="472" t="s">
        <v>0</v>
      </c>
      <c r="D3" s="472">
        <v>2</v>
      </c>
      <c r="F3" s="457" t="s">
        <v>1</v>
      </c>
      <c r="G3" s="457">
        <v>2</v>
      </c>
      <c r="H3" s="457" t="s">
        <v>140</v>
      </c>
      <c r="K3" s="212" t="s">
        <v>224</v>
      </c>
      <c r="L3" s="212"/>
    </row>
    <row r="4" spans="1:18 8826:8826" ht="15" customHeight="1" x14ac:dyDescent="0.25">
      <c r="A4" s="471">
        <v>3</v>
      </c>
      <c r="B4" s="472" t="str">
        <f>VLOOKUP(Tabla3[[#This Row],[OK]],$G$2:$H$25,2,0)</f>
        <v>Gales</v>
      </c>
      <c r="C4" s="472" t="s">
        <v>0</v>
      </c>
      <c r="D4" s="472">
        <v>3</v>
      </c>
      <c r="F4" s="457" t="s">
        <v>2</v>
      </c>
      <c r="G4" s="457">
        <v>3</v>
      </c>
      <c r="H4" s="457" t="s">
        <v>131</v>
      </c>
      <c r="K4" s="212" t="s">
        <v>225</v>
      </c>
      <c r="L4" s="212"/>
    </row>
    <row r="5" spans="1:18 8826:8826" ht="15" customHeight="1" x14ac:dyDescent="0.25">
      <c r="A5" s="471">
        <v>4</v>
      </c>
      <c r="B5" s="472" t="str">
        <f>VLOOKUP(Tabla3[[#This Row],[OK]],$G$2:$H$25,2,0)</f>
        <v>Suiza</v>
      </c>
      <c r="C5" s="472" t="s">
        <v>0</v>
      </c>
      <c r="D5" s="472">
        <v>4</v>
      </c>
      <c r="F5" s="457" t="s">
        <v>128</v>
      </c>
      <c r="G5" s="457">
        <v>4</v>
      </c>
      <c r="H5" s="457" t="s">
        <v>130</v>
      </c>
      <c r="K5" s="212" t="s">
        <v>226</v>
      </c>
      <c r="L5" s="212"/>
    </row>
    <row r="6" spans="1:18 8826:8826" ht="15" customHeight="1" x14ac:dyDescent="0.25">
      <c r="A6" s="471">
        <v>5</v>
      </c>
      <c r="B6" s="472" t="str">
        <f>VLOOKUP(Tabla3[[#This Row],[OK]],$G$2:$H$25,2,0)</f>
        <v>Dinamarca</v>
      </c>
      <c r="C6" s="472" t="s">
        <v>1</v>
      </c>
      <c r="D6" s="472">
        <v>5</v>
      </c>
      <c r="F6" s="457" t="s">
        <v>3</v>
      </c>
      <c r="G6" s="457">
        <v>5</v>
      </c>
      <c r="H6" s="457" t="s">
        <v>811</v>
      </c>
      <c r="K6" s="212" t="s">
        <v>227</v>
      </c>
      <c r="L6" s="212"/>
    </row>
    <row r="7" spans="1:18 8826:8826" ht="15" customHeight="1" x14ac:dyDescent="0.25">
      <c r="A7" s="471">
        <v>6</v>
      </c>
      <c r="B7" s="472" t="str">
        <f>VLOOKUP(Tabla3[[#This Row],[OK]],$G$2:$H$25,2,0)</f>
        <v>Finlandia</v>
      </c>
      <c r="C7" s="472" t="s">
        <v>1</v>
      </c>
      <c r="D7" s="472">
        <v>6</v>
      </c>
      <c r="F7" s="457" t="s">
        <v>4</v>
      </c>
      <c r="G7" s="457">
        <v>6</v>
      </c>
      <c r="H7" s="457" t="s">
        <v>812</v>
      </c>
      <c r="K7" s="212" t="s">
        <v>228</v>
      </c>
      <c r="L7" s="212"/>
    </row>
    <row r="8" spans="1:18 8826:8826" ht="15" customHeight="1" x14ac:dyDescent="0.25">
      <c r="A8" s="471">
        <v>7</v>
      </c>
      <c r="B8" s="472" t="str">
        <f>VLOOKUP(Tabla3[[#This Row],[OK]],$G$2:$H$25,2,0)</f>
        <v>Bélgica</v>
      </c>
      <c r="C8" s="472" t="s">
        <v>1</v>
      </c>
      <c r="D8" s="472">
        <v>7</v>
      </c>
      <c r="G8" s="457">
        <v>7</v>
      </c>
      <c r="H8" s="457" t="s">
        <v>227</v>
      </c>
      <c r="K8" s="212" t="s">
        <v>229</v>
      </c>
      <c r="L8" s="212"/>
    </row>
    <row r="9" spans="1:18 8826:8826" ht="15" customHeight="1" x14ac:dyDescent="0.25">
      <c r="A9" s="471">
        <v>8</v>
      </c>
      <c r="B9" s="472" t="str">
        <f>VLOOKUP(Tabla3[[#This Row],[OK]],$G$2:$H$25,2,0)</f>
        <v>Rusia</v>
      </c>
      <c r="C9" s="472" t="s">
        <v>1</v>
      </c>
      <c r="D9" s="472">
        <v>8</v>
      </c>
      <c r="G9" s="457">
        <v>8</v>
      </c>
      <c r="H9" s="457" t="s">
        <v>134</v>
      </c>
      <c r="K9" s="212" t="s">
        <v>230</v>
      </c>
      <c r="L9" s="212"/>
    </row>
    <row r="10" spans="1:18 8826:8826" ht="15" customHeight="1" x14ac:dyDescent="0.25">
      <c r="A10" s="471">
        <v>9</v>
      </c>
      <c r="B10" s="472" t="str">
        <f>VLOOKUP(Tabla3[[#This Row],[OK]],$G$2:$H$25,2,0)</f>
        <v>Países Bajos</v>
      </c>
      <c r="C10" s="472" t="s">
        <v>2</v>
      </c>
      <c r="D10" s="472">
        <v>9</v>
      </c>
      <c r="G10" s="457">
        <v>9</v>
      </c>
      <c r="H10" s="457" t="s">
        <v>830</v>
      </c>
      <c r="K10" s="212" t="s">
        <v>231</v>
      </c>
      <c r="L10" s="212"/>
    </row>
    <row r="11" spans="1:18 8826:8826" ht="15" customHeight="1" x14ac:dyDescent="0.25">
      <c r="A11" s="471">
        <v>10</v>
      </c>
      <c r="B11" s="472" t="str">
        <f>VLOOKUP(Tabla3[[#This Row],[OK]],$G$2:$H$25,2,0)</f>
        <v>Ucrania</v>
      </c>
      <c r="C11" s="472" t="s">
        <v>2</v>
      </c>
      <c r="D11" s="472">
        <v>10</v>
      </c>
      <c r="G11" s="457">
        <v>10</v>
      </c>
      <c r="H11" s="457" t="s">
        <v>137</v>
      </c>
      <c r="K11" s="212" t="s">
        <v>232</v>
      </c>
      <c r="L11" s="212"/>
    </row>
    <row r="12" spans="1:18 8826:8826" ht="15" customHeight="1" x14ac:dyDescent="0.25">
      <c r="A12" s="471">
        <v>11</v>
      </c>
      <c r="B12" s="472" t="str">
        <f>VLOOKUP(Tabla3[[#This Row],[OK]],$G$2:$H$25,2,0)</f>
        <v>Austria</v>
      </c>
      <c r="C12" s="472" t="s">
        <v>2</v>
      </c>
      <c r="D12" s="472">
        <v>11</v>
      </c>
      <c r="G12" s="457">
        <v>11</v>
      </c>
      <c r="H12" s="457" t="s">
        <v>143</v>
      </c>
      <c r="K12" s="212" t="s">
        <v>135</v>
      </c>
      <c r="L12" s="212"/>
    </row>
    <row r="13" spans="1:18 8826:8826" ht="15" customHeight="1" x14ac:dyDescent="0.25">
      <c r="A13" s="471">
        <v>12</v>
      </c>
      <c r="B13" s="472" t="str">
        <f>VLOOKUP(Tabla3[[#This Row],[OK]],$G$2:$H$25,2,0)</f>
        <v>Macedonia del Norte</v>
      </c>
      <c r="C13" s="472" t="s">
        <v>2</v>
      </c>
      <c r="D13" s="472">
        <v>12</v>
      </c>
      <c r="G13" s="457">
        <v>12</v>
      </c>
      <c r="H13" s="457" t="s">
        <v>862</v>
      </c>
      <c r="K13" s="212" t="s">
        <v>233</v>
      </c>
      <c r="L13" s="212"/>
    </row>
    <row r="14" spans="1:18 8826:8826" ht="15" customHeight="1" x14ac:dyDescent="0.25">
      <c r="A14" s="471">
        <v>13</v>
      </c>
      <c r="B14" s="472" t="str">
        <f>VLOOKUP(Tabla3[[#This Row],[OK]],$G$2:$H$25,2,0)</f>
        <v>Inglaterra</v>
      </c>
      <c r="C14" s="472" t="s">
        <v>128</v>
      </c>
      <c r="D14" s="472">
        <v>13</v>
      </c>
      <c r="G14" s="457">
        <v>13</v>
      </c>
      <c r="H14" s="457" t="s">
        <v>132</v>
      </c>
      <c r="K14" s="212" t="s">
        <v>234</v>
      </c>
      <c r="L14" s="212"/>
    </row>
    <row r="15" spans="1:18 8826:8826" ht="15" customHeight="1" x14ac:dyDescent="0.25">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25">
      <c r="A16" s="471">
        <v>15</v>
      </c>
      <c r="B16" s="472" t="str">
        <f>VLOOKUP(Tabla3[[#This Row],[OK]],$G$2:$H$25,2,0)</f>
        <v>Escocia</v>
      </c>
      <c r="C16" s="472" t="s">
        <v>128</v>
      </c>
      <c r="D16" s="472">
        <v>15</v>
      </c>
      <c r="G16" s="457">
        <v>15</v>
      </c>
      <c r="H16" s="457" t="s">
        <v>863</v>
      </c>
      <c r="K16" s="212" t="s">
        <v>236</v>
      </c>
      <c r="L16" s="212"/>
    </row>
    <row r="17" spans="1:331 8826:8826" ht="15" customHeight="1" x14ac:dyDescent="0.25">
      <c r="A17" s="471">
        <v>16</v>
      </c>
      <c r="B17" s="472" t="str">
        <f>VLOOKUP(Tabla3[[#This Row],[OK]],$G$2:$H$25,2,0)</f>
        <v>República Checa</v>
      </c>
      <c r="C17" s="472" t="s">
        <v>128</v>
      </c>
      <c r="D17" s="472">
        <v>16</v>
      </c>
      <c r="G17" s="457">
        <v>16</v>
      </c>
      <c r="H17" s="457" t="s">
        <v>828</v>
      </c>
      <c r="K17" s="212" t="s">
        <v>237</v>
      </c>
      <c r="L17" s="212"/>
    </row>
    <row r="18" spans="1:331 8826:8826" ht="15" customHeight="1" x14ac:dyDescent="0.25">
      <c r="A18" s="471">
        <v>17</v>
      </c>
      <c r="B18" s="472" t="str">
        <f>VLOOKUP(Tabla3[[#This Row],[OK]],$G$2:$H$25,2,0)</f>
        <v>España</v>
      </c>
      <c r="C18" s="472" t="s">
        <v>3</v>
      </c>
      <c r="D18" s="472">
        <v>17</v>
      </c>
      <c r="G18" s="457">
        <v>17</v>
      </c>
      <c r="H18" s="457" t="s">
        <v>87</v>
      </c>
      <c r="K18" s="212" t="s">
        <v>238</v>
      </c>
      <c r="L18" s="212"/>
    </row>
    <row r="19" spans="1:331 8826:8826" ht="15" customHeight="1" x14ac:dyDescent="0.25">
      <c r="A19" s="471">
        <v>18</v>
      </c>
      <c r="B19" s="472" t="str">
        <f>VLOOKUP(Tabla3[[#This Row],[OK]],$G$2:$H$25,2,0)</f>
        <v>Suecia</v>
      </c>
      <c r="C19" s="472" t="s">
        <v>3</v>
      </c>
      <c r="D19" s="472">
        <v>18</v>
      </c>
      <c r="G19" s="457">
        <v>18</v>
      </c>
      <c r="H19" s="457" t="s">
        <v>141</v>
      </c>
      <c r="K19" s="212" t="s">
        <v>239</v>
      </c>
      <c r="L19" s="212"/>
    </row>
    <row r="20" spans="1:331 8826:8826" ht="15" customHeight="1" x14ac:dyDescent="0.25">
      <c r="A20" s="471">
        <v>19</v>
      </c>
      <c r="B20" s="472" t="str">
        <f>VLOOKUP(Tabla3[[#This Row],[OK]],$G$2:$H$25,2,0)</f>
        <v>Polonia</v>
      </c>
      <c r="C20" s="472" t="s">
        <v>3</v>
      </c>
      <c r="D20" s="472">
        <v>19</v>
      </c>
      <c r="G20" s="457">
        <v>19</v>
      </c>
      <c r="H20" s="457" t="s">
        <v>136</v>
      </c>
      <c r="K20" s="212" t="s">
        <v>240</v>
      </c>
      <c r="L20" s="212"/>
    </row>
    <row r="21" spans="1:331 8826:8826" ht="15" customHeight="1" x14ac:dyDescent="0.25">
      <c r="A21" s="471">
        <v>20</v>
      </c>
      <c r="B21" s="472" t="str">
        <f>VLOOKUP(Tabla3[[#This Row],[OK]],$G$2:$H$25,2,0)</f>
        <v>Eslovaquia</v>
      </c>
      <c r="C21" s="472" t="s">
        <v>3</v>
      </c>
      <c r="D21" s="472">
        <v>20</v>
      </c>
      <c r="G21" s="457">
        <v>20</v>
      </c>
      <c r="H21" s="457" t="s">
        <v>133</v>
      </c>
      <c r="K21" s="212" t="s">
        <v>241</v>
      </c>
      <c r="L21" s="212"/>
    </row>
    <row r="22" spans="1:331 8826:8826" ht="15" customHeight="1" x14ac:dyDescent="0.25">
      <c r="A22" s="471">
        <v>21</v>
      </c>
      <c r="B22" s="472" t="str">
        <f>VLOOKUP(Tabla3[[#This Row],[OK]],$G$2:$H$25,2,0)</f>
        <v>Hungría</v>
      </c>
      <c r="C22" s="472" t="s">
        <v>4</v>
      </c>
      <c r="D22" s="472">
        <v>21</v>
      </c>
      <c r="G22" s="457">
        <v>21</v>
      </c>
      <c r="H22" s="457" t="s">
        <v>251</v>
      </c>
      <c r="K22" s="212" t="s">
        <v>133</v>
      </c>
      <c r="L22" s="212"/>
    </row>
    <row r="23" spans="1:331 8826:8826" ht="15" customHeight="1" x14ac:dyDescent="0.25">
      <c r="A23" s="471">
        <v>22</v>
      </c>
      <c r="B23" s="472" t="str">
        <f>VLOOKUP(Tabla3[[#This Row],[OK]],$G$2:$H$25,2,0)</f>
        <v>Portugal</v>
      </c>
      <c r="C23" s="472" t="s">
        <v>4</v>
      </c>
      <c r="D23" s="472">
        <v>22</v>
      </c>
      <c r="G23" s="457">
        <v>22</v>
      </c>
      <c r="H23" s="457" t="s">
        <v>142</v>
      </c>
      <c r="K23" s="212" t="s">
        <v>242</v>
      </c>
      <c r="L23" s="212"/>
    </row>
    <row r="24" spans="1:331 8826:8826" ht="15" customHeight="1" x14ac:dyDescent="0.25">
      <c r="A24" s="471">
        <v>23</v>
      </c>
      <c r="B24" s="472" t="str">
        <f>VLOOKUP(Tabla3[[#This Row],[OK]],$G$2:$H$25,2,0)</f>
        <v>Francia</v>
      </c>
      <c r="C24" s="472" t="s">
        <v>4</v>
      </c>
      <c r="D24" s="472">
        <v>23</v>
      </c>
      <c r="G24" s="457">
        <v>23</v>
      </c>
      <c r="H24" s="457" t="s">
        <v>129</v>
      </c>
      <c r="K24" s="212" t="s">
        <v>243</v>
      </c>
      <c r="L24" s="212"/>
    </row>
    <row r="25" spans="1:331 8826:8826" ht="15" customHeight="1" x14ac:dyDescent="0.25">
      <c r="A25" s="471">
        <v>24</v>
      </c>
      <c r="B25" s="472" t="str">
        <f>VLOOKUP(Tabla3[[#This Row],[OK]],$G$2:$H$25,2,0)</f>
        <v>Alemania</v>
      </c>
      <c r="C25" s="472" t="s">
        <v>4</v>
      </c>
      <c r="D25" s="472">
        <v>24</v>
      </c>
      <c r="G25" s="457">
        <v>24</v>
      </c>
      <c r="H25" s="457" t="s">
        <v>135</v>
      </c>
      <c r="K25" s="212" t="s">
        <v>244</v>
      </c>
      <c r="L25" s="212"/>
    </row>
    <row r="26" spans="1:331 8826:8826" ht="15" customHeight="1" x14ac:dyDescent="0.25">
      <c r="K26" s="212" t="s">
        <v>245</v>
      </c>
      <c r="L26" s="212"/>
    </row>
    <row r="27" spans="1:331 8826:8826" ht="15" customHeight="1" x14ac:dyDescent="0.25">
      <c r="K27" s="212" t="s">
        <v>246</v>
      </c>
      <c r="L27" s="212"/>
    </row>
    <row r="28" spans="1:331 8826:8826" ht="15" customHeight="1" x14ac:dyDescent="0.25">
      <c r="K28" s="212" t="s">
        <v>247</v>
      </c>
      <c r="L28" s="212"/>
      <c r="LS28" s="457" t="s">
        <v>19</v>
      </c>
      <c r="MAL28" s="457" t="s">
        <v>19</v>
      </c>
    </row>
    <row r="29" spans="1:331 8826:8826" ht="15" customHeight="1" x14ac:dyDescent="0.25">
      <c r="B29" s="457" t="s">
        <v>170</v>
      </c>
      <c r="C29" s="457">
        <v>1</v>
      </c>
      <c r="K29" s="212" t="s">
        <v>248</v>
      </c>
      <c r="L29" s="212"/>
    </row>
    <row r="30" spans="1:331 8826:8826" ht="15" customHeight="1" x14ac:dyDescent="0.25">
      <c r="B30" s="457" t="s">
        <v>171</v>
      </c>
      <c r="C30" s="457">
        <v>2</v>
      </c>
      <c r="K30" s="212" t="s">
        <v>249</v>
      </c>
      <c r="L30" s="212"/>
    </row>
    <row r="31" spans="1:331 8826:8826" ht="15" customHeight="1" x14ac:dyDescent="0.25">
      <c r="B31" s="457" t="s">
        <v>172</v>
      </c>
      <c r="C31" s="457">
        <v>3</v>
      </c>
      <c r="K31" s="212" t="s">
        <v>250</v>
      </c>
      <c r="L31" s="212"/>
    </row>
    <row r="32" spans="1:331 8826:8826" ht="15" customHeight="1" x14ac:dyDescent="0.25">
      <c r="B32" s="457" t="s">
        <v>173</v>
      </c>
      <c r="C32" s="457">
        <v>4</v>
      </c>
      <c r="K32" s="212" t="s">
        <v>251</v>
      </c>
      <c r="L32" s="212"/>
    </row>
    <row r="33" spans="2:12" ht="15" customHeight="1" x14ac:dyDescent="0.25">
      <c r="B33" s="457" t="s">
        <v>174</v>
      </c>
      <c r="C33" s="457">
        <v>5</v>
      </c>
      <c r="K33" s="212" t="s">
        <v>252</v>
      </c>
      <c r="L33" s="212"/>
    </row>
    <row r="34" spans="2:12" ht="15" customHeight="1" x14ac:dyDescent="0.25">
      <c r="B34" s="457" t="s">
        <v>175</v>
      </c>
      <c r="C34" s="457">
        <v>6</v>
      </c>
      <c r="K34" s="212" t="s">
        <v>253</v>
      </c>
      <c r="L34" s="212"/>
    </row>
    <row r="35" spans="2:12" ht="15" customHeight="1" x14ac:dyDescent="0.25">
      <c r="K35" s="212" t="s">
        <v>254</v>
      </c>
      <c r="L35" s="212"/>
    </row>
    <row r="36" spans="2:12" ht="15" customHeight="1" x14ac:dyDescent="0.25">
      <c r="K36" s="212" t="s">
        <v>255</v>
      </c>
      <c r="L36" s="212"/>
    </row>
    <row r="37" spans="2:12" ht="15" customHeight="1" x14ac:dyDescent="0.25">
      <c r="K37" s="212" t="s">
        <v>256</v>
      </c>
      <c r="L37" s="212"/>
    </row>
    <row r="38" spans="2:12" ht="15" customHeight="1" x14ac:dyDescent="0.25">
      <c r="K38" s="212" t="s">
        <v>257</v>
      </c>
      <c r="L38" s="212"/>
    </row>
    <row r="39" spans="2:12" ht="15" customHeight="1" x14ac:dyDescent="0.25">
      <c r="K39" s="212" t="s">
        <v>258</v>
      </c>
      <c r="L39" s="212"/>
    </row>
    <row r="40" spans="2:12" ht="15" customHeight="1" x14ac:dyDescent="0.25">
      <c r="K40" s="212" t="s">
        <v>259</v>
      </c>
      <c r="L40" s="212"/>
    </row>
    <row r="41" spans="2:12" ht="15" customHeight="1" x14ac:dyDescent="0.25">
      <c r="K41" s="212" t="s">
        <v>260</v>
      </c>
      <c r="L41" s="212"/>
    </row>
    <row r="42" spans="2:12" ht="15" customHeight="1" x14ac:dyDescent="0.25">
      <c r="K42" s="212" t="s">
        <v>862</v>
      </c>
      <c r="L42" s="212"/>
    </row>
    <row r="43" spans="2:12" ht="15" customHeight="1" x14ac:dyDescent="0.25">
      <c r="K43" s="212" t="s">
        <v>261</v>
      </c>
      <c r="L43" s="212"/>
    </row>
    <row r="44" spans="2:12" ht="15" customHeight="1" x14ac:dyDescent="0.25">
      <c r="K44" s="212" t="s">
        <v>262</v>
      </c>
      <c r="L44" s="212"/>
    </row>
    <row r="45" spans="2:12" ht="15" customHeight="1" x14ac:dyDescent="0.25">
      <c r="K45" s="212" t="s">
        <v>263</v>
      </c>
      <c r="L45" s="212"/>
    </row>
    <row r="46" spans="2:12" ht="15" customHeight="1" x14ac:dyDescent="0.25">
      <c r="K46" s="212" t="s">
        <v>264</v>
      </c>
      <c r="L46" s="212"/>
    </row>
    <row r="47" spans="2:12" ht="15" customHeight="1" x14ac:dyDescent="0.25">
      <c r="K47" s="212" t="s">
        <v>265</v>
      </c>
      <c r="L47" s="212"/>
    </row>
    <row r="48" spans="2:12" ht="15" customHeight="1" x14ac:dyDescent="0.25">
      <c r="K48" s="212" t="s">
        <v>266</v>
      </c>
      <c r="L48" s="212"/>
    </row>
    <row r="49" spans="11:12" ht="15" customHeight="1" x14ac:dyDescent="0.25">
      <c r="K49" s="212" t="s">
        <v>267</v>
      </c>
      <c r="L49" s="212"/>
    </row>
    <row r="50" spans="11:12" ht="15" customHeight="1" x14ac:dyDescent="0.25">
      <c r="K50" s="212" t="s">
        <v>268</v>
      </c>
      <c r="L50" s="212"/>
    </row>
    <row r="51" spans="11:12" ht="15" customHeight="1" x14ac:dyDescent="0.25">
      <c r="K51" s="212" t="s">
        <v>269</v>
      </c>
      <c r="L51" s="212"/>
    </row>
    <row r="52" spans="11:12" ht="15" customHeight="1" x14ac:dyDescent="0.25">
      <c r="K52" s="212" t="s">
        <v>270</v>
      </c>
      <c r="L52" s="212"/>
    </row>
    <row r="53" spans="11:12" ht="15" customHeight="1" x14ac:dyDescent="0.25">
      <c r="K53" s="212" t="s">
        <v>271</v>
      </c>
      <c r="L53" s="212"/>
    </row>
    <row r="54" spans="11:12" ht="15" customHeight="1" x14ac:dyDescent="0.25">
      <c r="K54" s="212" t="s">
        <v>272</v>
      </c>
      <c r="L54" s="212"/>
    </row>
    <row r="55" spans="11:12" ht="15" customHeight="1" x14ac:dyDescent="0.25">
      <c r="K55" s="212" t="s">
        <v>273</v>
      </c>
      <c r="L55" s="212"/>
    </row>
    <row r="56" spans="11:12" ht="15" customHeight="1" x14ac:dyDescent="0.25">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70</v>
      </c>
      <c r="C2" s="407"/>
      <c r="D2" s="407"/>
      <c r="E2" s="407"/>
      <c r="F2" s="407"/>
      <c r="G2" s="407"/>
    </row>
    <row r="3" spans="1:14" x14ac:dyDescent="0.25">
      <c r="A3" s="403"/>
      <c r="B3" s="611" t="s">
        <v>126</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71</v>
      </c>
      <c r="C14" s="7" t="s">
        <v>72</v>
      </c>
      <c r="D14" s="410"/>
      <c r="E14" s="410"/>
      <c r="F14" s="408"/>
      <c r="G14" s="408"/>
    </row>
    <row r="15" spans="1:14" x14ac:dyDescent="0.25">
      <c r="A15" s="403"/>
      <c r="B15" s="455" t="s">
        <v>878</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USUARIO</cp:lastModifiedBy>
  <cp:lastPrinted>2018-12-06T18:06:35Z</cp:lastPrinted>
  <dcterms:created xsi:type="dcterms:W3CDTF">2015-10-31T09:41:54Z</dcterms:created>
  <dcterms:modified xsi:type="dcterms:W3CDTF">2021-06-26T02:01:18Z</dcterms:modified>
</cp:coreProperties>
</file>