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media/image89.gif" ContentType="image/gif"/>
  <Override PartName="/xl/media/image91.png" ContentType="image/png"/>
  <Override PartName="/xl/media/image94.gif" ContentType="image/gif"/>
  <Override PartName="/xl/media/image90.png" ContentType="image/png"/>
  <Override PartName="/xl/media/image92.png" ContentType="image/png"/>
  <Override PartName="/xl/media/image93.png" ContentType="image/png"/>
  <Override PartName="/xl/media/image96.gif" ContentType="image/gif"/>
  <Override PartName="/xl/media/image95.png" ContentType="image/p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icio" sheetId="1" state="visible" r:id="rId2"/>
    <sheet name="MUNDIAL" sheetId="2" state="visible" r:id="rId3"/>
    <sheet name="Pronostico" sheetId="3" state="visible" r:id="rId4"/>
    <sheet name="Fixture" sheetId="4" state="visible" r:id="rId5"/>
    <sheet name="Horarios" sheetId="5" state="hidden" r:id="rId6"/>
    <sheet name="Equipos" sheetId="6" state="hidden" r:id="rId7"/>
    <sheet name="Creditos" sheetId="7" state="visible" r:id="rId8"/>
  </sheets>
  <definedNames>
    <definedName function="false" hidden="false" name="cmh" vbProcedure="false">MUNDIAL!$CI$57</definedName>
    <definedName function="false" hidden="false" name="Nivell" vbProcedure="false">Equipos!$C$2:$C$33</definedName>
    <definedName function="false" hidden="false" name="NombreEquipo" vbProcedure="false">Equipos!$B$2:$B$33</definedName>
    <definedName function="false" hidden="false" name="OK" vbProcedure="false">Equipos!$A$2:$A$33</definedName>
    <definedName function="false" hidden="false" name="Rank" vbProcedure="false">Equipos!$D$2:$D$33</definedName>
    <definedName function="false" hidden="false" name="·······" vbProcedure="false">Equipos!$A$2:$D$33</definedName>
    <definedName function="false" hidden="false" localSheetId="1" name="_xlnm._FilterDatabase" vbProcedure="false">MUNDIAL!$CA$43:$chr$96</definedName>
    <definedName function="false" hidden="false" localSheetId="4" name="_xlnm._FilterDatabase" vbProcedure="false">Horarios!$K$3:$O$35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<sst xmlns="http://schemas.openxmlformats.org/spreadsheetml/2006/main" count="1356" uniqueCount="376">
  <si>
    <t xml:space="preserve">Si quieres organizar una porra (quiniela) con tu grupo </t>
  </si>
  <si>
    <t xml:space="preserve">puedes descargar el archivo para administrarla</t>
  </si>
  <si>
    <t xml:space="preserve">desde el botón de abajo</t>
  </si>
  <si>
    <t xml:space="preserve">Foto: De Jcer80 - Trabajo propio, CC BY-SA 3.0, wikipedia</t>
  </si>
  <si>
    <t xml:space="preserve">¿Te gusta?, ¿Puedes compartirlo?</t>
  </si>
  <si>
    <t xml:space="preserve">Selecciona Horario:</t>
  </si>
  <si>
    <t xml:space="preserve">Catar</t>
  </si>
  <si>
    <t xml:space="preserve">Rellenar los cuadros grises</t>
  </si>
  <si>
    <t xml:space="preserve">AUXILIARES</t>
  </si>
  <si>
    <t xml:space="preserve">TOPIC</t>
  </si>
  <si>
    <t xml:space="preserve">VALUE</t>
  </si>
  <si>
    <t xml:space="preserve">no</t>
  </si>
  <si>
    <t xml:space="preserve">Fecha</t>
  </si>
  <si>
    <t xml:space="preserve">Hora</t>
  </si>
  <si>
    <t xml:space="preserve">Jor.</t>
  </si>
  <si>
    <t xml:space="preserve">Casa</t>
  </si>
  <si>
    <t xml:space="preserve">Gol</t>
  </si>
  <si>
    <t xml:space="preserve">Fuera</t>
  </si>
  <si>
    <t xml:space="preserve">SIN EMPEZAR</t>
  </si>
  <si>
    <t xml:space="preserve">OP1</t>
  </si>
  <si>
    <t xml:space="preserve">OP2</t>
  </si>
  <si>
    <t xml:space="preserve">OP3</t>
  </si>
  <si>
    <t xml:space="preserve">OP4</t>
  </si>
  <si>
    <t xml:space="preserve">OP5</t>
  </si>
  <si>
    <t xml:space="preserve">OP6</t>
  </si>
  <si>
    <t xml:space="preserve">OP7</t>
  </si>
  <si>
    <t xml:space="preserve">OP8</t>
  </si>
  <si>
    <t xml:space="preserve">OP9</t>
  </si>
  <si>
    <t xml:space="preserve">OP10</t>
  </si>
  <si>
    <t xml:space="preserve">NombreEquipo</t>
  </si>
  <si>
    <t xml:space="preserve">A</t>
  </si>
  <si>
    <t xml:space="preserve">J1</t>
  </si>
  <si>
    <t xml:space="preserve">¡EMPATE! Puedes seleccionar el orden de los empatados.</t>
  </si>
  <si>
    <t xml:space="preserve">NR</t>
  </si>
  <si>
    <t xml:space="preserve">PUNTOS General</t>
  </si>
  <si>
    <t xml:space="preserve">Goles - Partidos Cruzados</t>
  </si>
  <si>
    <t xml:space="preserve">Diferencia de Goles - Partidos Cruzados</t>
  </si>
  <si>
    <t xml:space="preserve">Puntos - Partidos Cruzados</t>
  </si>
  <si>
    <t xml:space="preserve">Valor</t>
  </si>
  <si>
    <t xml:space="preserve">Sum</t>
  </si>
  <si>
    <t xml:space="preserve">Pos</t>
  </si>
  <si>
    <t xml:space="preserve">Selección</t>
  </si>
  <si>
    <t xml:space="preserve">Pts</t>
  </si>
  <si>
    <t xml:space="preserve">J</t>
  </si>
  <si>
    <t xml:space="preserve">G</t>
  </si>
  <si>
    <t xml:space="preserve">E</t>
  </si>
  <si>
    <t xml:space="preserve">P</t>
  </si>
  <si>
    <t xml:space="preserve">GF</t>
  </si>
  <si>
    <t xml:space="preserve">GC</t>
  </si>
  <si>
    <t xml:space="preserve">DG</t>
  </si>
  <si>
    <t xml:space="preserve">Puesto</t>
  </si>
  <si>
    <t xml:space="preserve">Equipo</t>
  </si>
  <si>
    <t xml:space="preserve">Ptos</t>
  </si>
  <si>
    <t xml:space="preserve">Dif</t>
  </si>
  <si>
    <t xml:space="preserve">Rank</t>
  </si>
  <si>
    <t xml:space="preserve">DG X</t>
  </si>
  <si>
    <t xml:space="preserve">NEquipEqual</t>
  </si>
  <si>
    <t xml:space="preserve">PUNTOS</t>
  </si>
  <si>
    <t xml:space="preserve">Ranking Inv</t>
  </si>
  <si>
    <t xml:space="preserve">Entre Iguales</t>
  </si>
  <si>
    <t xml:space="preserve">Inicio</t>
  </si>
  <si>
    <t xml:space="preserve">=AR</t>
  </si>
  <si>
    <t xml:space="preserve">1R</t>
  </si>
  <si>
    <t xml:space="preserve">Signo</t>
  </si>
  <si>
    <t xml:space="preserve">Gf</t>
  </si>
  <si>
    <t xml:space="preserve">Com</t>
  </si>
  <si>
    <t xml:space="preserve">COM_1</t>
  </si>
  <si>
    <t xml:space="preserve">COM_2</t>
  </si>
  <si>
    <t xml:space="preserve">COM_3</t>
  </si>
  <si>
    <t xml:space="preserve">COM_4</t>
  </si>
  <si>
    <t xml:space="preserve">COM_5</t>
  </si>
  <si>
    <t xml:space="preserve">COM_6</t>
  </si>
  <si>
    <t xml:space="preserve">COM_7</t>
  </si>
  <si>
    <t xml:space="preserve">COM_8</t>
  </si>
  <si>
    <t xml:space="preserve">J2</t>
  </si>
  <si>
    <t xml:space="preserve">G X</t>
  </si>
  <si>
    <t xml:space="preserve">P Part</t>
  </si>
  <si>
    <t xml:space="preserve">J3</t>
  </si>
  <si>
    <t xml:space="preserve">DG part</t>
  </si>
  <si>
    <t xml:space="preserve">G part</t>
  </si>
  <si>
    <t xml:space="preserve">Victorias</t>
  </si>
  <si>
    <t xml:space="preserve">BOMBO</t>
  </si>
  <si>
    <t xml:space="preserve">B</t>
  </si>
  <si>
    <t xml:space="preserve">C</t>
  </si>
  <si>
    <t xml:space="preserve">D</t>
  </si>
  <si>
    <t xml:space="preserve">F</t>
  </si>
  <si>
    <t xml:space="preserve">H</t>
  </si>
  <si>
    <t xml:space="preserve">Octavos de final</t>
  </si>
  <si>
    <t xml:space="preserve">X</t>
  </si>
  <si>
    <t xml:space="preserve">1/8</t>
  </si>
  <si>
    <t xml:space="preserve">Cuartos de final</t>
  </si>
  <si>
    <t xml:space="preserve">1/4</t>
  </si>
  <si>
    <t xml:space="preserve">Semifinales</t>
  </si>
  <si>
    <t xml:space="preserve">1/2</t>
  </si>
  <si>
    <t xml:space="preserve">3º y 4º puesto</t>
  </si>
  <si>
    <t xml:space="preserve">3-4</t>
  </si>
  <si>
    <t xml:space="preserve">Final</t>
  </si>
  <si>
    <t xml:space="preserve">CUADRO DE HONOR</t>
  </si>
  <si>
    <t xml:space="preserve">Campeón</t>
  </si>
  <si>
    <t xml:space="preserve">Subcampeón</t>
  </si>
  <si>
    <t xml:space="preserve">3º Clasificado</t>
  </si>
  <si>
    <r>
      <rPr>
        <b val="true"/>
        <sz val="14"/>
        <color rgb="FFFFFFFF"/>
        <rFont val="Calibri"/>
        <family val="2"/>
        <charset val="1"/>
      </rPr>
      <t xml:space="preserve">Bota de Oro </t>
    </r>
    <r>
      <rPr>
        <b val="true"/>
        <sz val="8"/>
        <color rgb="FFFFFFFF"/>
        <rFont val="Calibri"/>
        <family val="2"/>
        <charset val="1"/>
      </rPr>
      <t xml:space="preserve"> </t>
    </r>
    <r>
      <rPr>
        <b val="true"/>
        <sz val="8"/>
        <color rgb="FFFFFFFF"/>
        <rFont val="Calibri (Cuerpo)"/>
        <family val="0"/>
        <charset val="1"/>
      </rPr>
      <t xml:space="preserve">(máximo goleador)</t>
    </r>
  </si>
  <si>
    <t xml:space="preserve">Escribe un jugador</t>
  </si>
  <si>
    <r>
      <rPr>
        <b val="true"/>
        <sz val="12"/>
        <color rgb="FFFFFFFF"/>
        <rFont val="Calibri"/>
        <family val="2"/>
        <charset val="1"/>
      </rPr>
      <t xml:space="preserve">Bota de Plata</t>
    </r>
    <r>
      <rPr>
        <b val="true"/>
        <sz val="8"/>
        <color rgb="FFFFFFFF"/>
        <rFont val="Calibri (Cuerpo)"/>
        <family val="0"/>
        <charset val="1"/>
      </rPr>
      <t xml:space="preserve"> (2º máximo goleador)</t>
    </r>
  </si>
  <si>
    <r>
      <rPr>
        <b val="true"/>
        <sz val="12"/>
        <color rgb="FFFFFFFF"/>
        <rFont val="Calibri"/>
        <family val="2"/>
        <charset val="1"/>
      </rPr>
      <t xml:space="preserve">Bota de Bronce </t>
    </r>
    <r>
      <rPr>
        <b val="true"/>
        <sz val="8"/>
        <color rgb="FFFFFFFF"/>
        <rFont val="Calibri (Cuerpo)"/>
        <family val="0"/>
        <charset val="1"/>
      </rPr>
      <t xml:space="preserve">(3º máximo goleador)</t>
    </r>
  </si>
  <si>
    <r>
      <rPr>
        <b val="true"/>
        <sz val="14"/>
        <color rgb="FFFFFFFF"/>
        <rFont val="Calibri"/>
        <family val="2"/>
        <charset val="1"/>
      </rPr>
      <t xml:space="preserve">Balón de Oro </t>
    </r>
    <r>
      <rPr>
        <b val="true"/>
        <sz val="8"/>
        <color rgb="FFFFFFFF"/>
        <rFont val="Calibri"/>
        <family val="2"/>
        <charset val="1"/>
      </rPr>
      <t xml:space="preserve"> </t>
    </r>
    <r>
      <rPr>
        <b val="true"/>
        <sz val="8"/>
        <color rgb="FFFFFFFF"/>
        <rFont val="Calibri (Cuerpo)"/>
        <family val="0"/>
        <charset val="1"/>
      </rPr>
      <t xml:space="preserve">(mejor jugador)</t>
    </r>
  </si>
  <si>
    <r>
      <rPr>
        <b val="true"/>
        <sz val="12"/>
        <color rgb="FFFFFFFF"/>
        <rFont val="Calibri"/>
        <family val="2"/>
        <charset val="1"/>
      </rPr>
      <t xml:space="preserve">Balón de Plata</t>
    </r>
    <r>
      <rPr>
        <b val="true"/>
        <sz val="8"/>
        <color rgb="FFFFFFFF"/>
        <rFont val="Calibri (Cuerpo)"/>
        <family val="0"/>
        <charset val="1"/>
      </rPr>
      <t xml:space="preserve"> (2º mejor jugador)</t>
    </r>
  </si>
  <si>
    <r>
      <rPr>
        <b val="true"/>
        <sz val="12"/>
        <color rgb="FFFFFFFF"/>
        <rFont val="Calibri"/>
        <family val="2"/>
        <charset val="1"/>
      </rPr>
      <t xml:space="preserve">Balón de Bronce </t>
    </r>
    <r>
      <rPr>
        <b val="true"/>
        <sz val="8"/>
        <color rgb="FFFFFFFF"/>
        <rFont val="Calibri (Cuerpo)"/>
        <family val="0"/>
        <charset val="1"/>
      </rPr>
      <t xml:space="preserve">(3º mejor jugador)</t>
    </r>
  </si>
  <si>
    <t xml:space="preserve">TU NOMBRE</t>
  </si>
  <si>
    <t xml:space="preserve">Christian</t>
  </si>
  <si>
    <t xml:space="preserve">Para el administrador de la porra</t>
  </si>
  <si>
    <t xml:space="preserve">EL ADMINISTRADOR DE LA PORRA SEGUIRÁ LAS INSTRUCCIONES DE AQUÍ ABAJO</t>
  </si>
  <si>
    <t xml:space="preserve">PARTICIPANTE</t>
  </si>
  <si>
    <t xml:space="preserve">Nombre</t>
  </si>
  <si>
    <t xml:space="preserve">·Si haceis todo el mundial de golpe copiar de la C6 a la 166 y pegar valores en la plantilla de Administrador.</t>
  </si>
  <si>
    <t xml:space="preserve">¡No tocar nada, se rellena solo!</t>
  </si>
  <si>
    <t xml:space="preserve">·Si haceis toda la fase de grupos de golpe y las eliminatorias aparte, copiar primero de la C6 a la C105 y pegar valores en la plantilla de Administrador. Y también copiar y pegar valores de la C161 a la C166. En octavos seguir las instrucciones de abajo.</t>
  </si>
  <si>
    <t xml:space="preserve">FASE DE GRUPOS</t>
  </si>
  <si>
    <t xml:space="preserve">·Si haceis jornada a jornada seguir las instrucciones de cada jornada</t>
  </si>
  <si>
    <t xml:space="preserve">A1</t>
  </si>
  <si>
    <t xml:space="preserve">·Para la primera jornada selecciona de la C6 a la C21 y pega valores en la plantilla de administrador. ¡OJO! COPIAR TAMBIÉN de la C161 a la C166.</t>
  </si>
  <si>
    <t xml:space="preserve">B1</t>
  </si>
  <si>
    <t xml:space="preserve">C1</t>
  </si>
  <si>
    <t xml:space="preserve">D1</t>
  </si>
  <si>
    <t xml:space="preserve">E1</t>
  </si>
  <si>
    <t xml:space="preserve">F1</t>
  </si>
  <si>
    <t xml:space="preserve">G1</t>
  </si>
  <si>
    <t xml:space="preserve">H1</t>
  </si>
  <si>
    <t xml:space="preserve">A2</t>
  </si>
  <si>
    <t xml:space="preserve">·Para la segunda jornada selecciona de la C22 a la C37 y pega valores en la plantilla de administrador.</t>
  </si>
  <si>
    <t xml:space="preserve">B2</t>
  </si>
  <si>
    <t xml:space="preserve">C2</t>
  </si>
  <si>
    <t xml:space="preserve">D2</t>
  </si>
  <si>
    <t xml:space="preserve">E2</t>
  </si>
  <si>
    <t xml:space="preserve">F2</t>
  </si>
  <si>
    <t xml:space="preserve">G2</t>
  </si>
  <si>
    <t xml:space="preserve">H2</t>
  </si>
  <si>
    <t xml:space="preserve">A3</t>
  </si>
  <si>
    <t xml:space="preserve">·Para la tercera jornada selecciona de la C38 a la C105 y pega valores en la plantilla de administrador.</t>
  </si>
  <si>
    <t xml:space="preserve">B3</t>
  </si>
  <si>
    <t xml:space="preserve">C3</t>
  </si>
  <si>
    <t xml:space="preserve">D3</t>
  </si>
  <si>
    <t xml:space="preserve">E3</t>
  </si>
  <si>
    <t xml:space="preserve">F3</t>
  </si>
  <si>
    <t xml:space="preserve">G3</t>
  </si>
  <si>
    <t xml:space="preserve">H3</t>
  </si>
  <si>
    <t xml:space="preserve">POSICIÓN GRUPOS</t>
  </si>
  <si>
    <t xml:space="preserve">1º GRUPO A</t>
  </si>
  <si>
    <t xml:space="preserve">2º GRUPO A</t>
  </si>
  <si>
    <t xml:space="preserve">3º GRUPO A</t>
  </si>
  <si>
    <t xml:space="preserve">4º GRUPO A</t>
  </si>
  <si>
    <t xml:space="preserve">1º GRUPO B</t>
  </si>
  <si>
    <t xml:space="preserve">2º GRUPO B</t>
  </si>
  <si>
    <t xml:space="preserve">3º GRUPO B</t>
  </si>
  <si>
    <t xml:space="preserve">4º GRUPO B</t>
  </si>
  <si>
    <t xml:space="preserve">1º GRUPO C</t>
  </si>
  <si>
    <t xml:space="preserve">2º GRUPO C</t>
  </si>
  <si>
    <t xml:space="preserve">3º GRUPO C</t>
  </si>
  <si>
    <t xml:space="preserve">4º GRUPO C</t>
  </si>
  <si>
    <t xml:space="preserve">1º GRUPO D</t>
  </si>
  <si>
    <t xml:space="preserve">2º GRUPO D</t>
  </si>
  <si>
    <t xml:space="preserve">3º GRUPO D</t>
  </si>
  <si>
    <t xml:space="preserve">4º GRUPO D</t>
  </si>
  <si>
    <t xml:space="preserve">1º GRUPO E</t>
  </si>
  <si>
    <t xml:space="preserve">2º GRUPO E</t>
  </si>
  <si>
    <t xml:space="preserve">3º GRUPO E</t>
  </si>
  <si>
    <t xml:space="preserve">4º GRUPO E</t>
  </si>
  <si>
    <t xml:space="preserve">1º GRUPO F</t>
  </si>
  <si>
    <t xml:space="preserve">2º GRUPO F</t>
  </si>
  <si>
    <t xml:space="preserve">3º GRUPO F</t>
  </si>
  <si>
    <t xml:space="preserve">4º GRUPO F</t>
  </si>
  <si>
    <t xml:space="preserve">1o GRUPO G</t>
  </si>
  <si>
    <t xml:space="preserve">2o GRUPO G</t>
  </si>
  <si>
    <t xml:space="preserve">3o GRUPO G</t>
  </si>
  <si>
    <t xml:space="preserve">4o GRUPO G</t>
  </si>
  <si>
    <t xml:space="preserve">1o GRUPO H</t>
  </si>
  <si>
    <t xml:space="preserve">2o GRUPO H</t>
  </si>
  <si>
    <t xml:space="preserve">3o GRUPO H</t>
  </si>
  <si>
    <t xml:space="preserve">4o GRUPO H</t>
  </si>
  <si>
    <t xml:space="preserve">CLASIFICADOS PARA OCTAVOS</t>
  </si>
  <si>
    <t xml:space="preserve">Octavofinalista</t>
  </si>
  <si>
    <t xml:space="preserve">·Si haceis todas las eliminatorias de golpe, copiar de la C108 a la C160 y pegar valores en la plantilla de Administrador.</t>
  </si>
  <si>
    <t xml:space="preserve">ENFRENTAMIENTOS OCTAVOS</t>
  </si>
  <si>
    <t xml:space="preserve">·Si haceis eliminatoria a eliminatoria seguir las instrucciones de cada eliminatoria.</t>
  </si>
  <si>
    <t xml:space="preserve">·Para los octavos selecciona de la C108 a la C125 y pega valores en la plantilla de administrador.</t>
  </si>
  <si>
    <t xml:space="preserve">CLASIFICADOS PARA CUARTOS</t>
  </si>
  <si>
    <t xml:space="preserve">Cuartofinalista</t>
  </si>
  <si>
    <t xml:space="preserve">ENFRENTAMIENTOS CUARTOS</t>
  </si>
  <si>
    <t xml:space="preserve">·Para los cuartos selecciona de la C128 a la C137 y pega valores en la plantilla de administrador.</t>
  </si>
  <si>
    <t xml:space="preserve">CLASIFICADOS PARA SEMIFINALES</t>
  </si>
  <si>
    <t xml:space="preserve">Semifinalista</t>
  </si>
  <si>
    <t xml:space="preserve">ENFRENTAMIENTOS SEMIFINALES</t>
  </si>
  <si>
    <t xml:space="preserve">·Para las semifinales selecciona de la C140 a la C149 y pega valores en la plantilla de administrador.</t>
  </si>
  <si>
    <t xml:space="preserve">3º y 4º PUESTO</t>
  </si>
  <si>
    <t xml:space="preserve">3º y 4º Puesto (1)</t>
  </si>
  <si>
    <t xml:space="preserve">CLASIFICADOS PARA LA FINAL</t>
  </si>
  <si>
    <t xml:space="preserve">Finalista</t>
  </si>
  <si>
    <t xml:space="preserve">PARTIDO 3º Y 4º PUESTO</t>
  </si>
  <si>
    <t xml:space="preserve">3-4
F</t>
  </si>
  <si>
    <t xml:space="preserve">·Para el 3º y 4º puesto y la final selecciona de la C152 a la C160 y pega valores en la plantilla de administrador.</t>
  </si>
  <si>
    <t xml:space="preserve">ENFRENTAMIENTO FINAL</t>
  </si>
  <si>
    <t xml:space="preserve">·Al inicio de la competición, si se hace por fases copiar de la C161 a la C166 y pegarla al final del jugador en el archivo de administrador.</t>
  </si>
  <si>
    <t xml:space="preserve">SF</t>
  </si>
  <si>
    <t xml:space="preserve">F-34</t>
  </si>
  <si>
    <t xml:space="preserve">Sel</t>
  </si>
  <si>
    <t xml:space="preserve">PJ</t>
  </si>
  <si>
    <t xml:space="preserve">3º-4º</t>
  </si>
  <si>
    <t xml:space="preserve">2º</t>
  </si>
  <si>
    <t xml:space="preserve">1º</t>
  </si>
  <si>
    <t xml:space="preserve">3º</t>
  </si>
  <si>
    <t xml:space="preserve">https://www.zeitverschiebung.net/es/country/vn</t>
  </si>
  <si>
    <t xml:space="preserve">GA</t>
  </si>
  <si>
    <t xml:space="preserve">SEDES</t>
  </si>
  <si>
    <t xml:space="preserve">UTC</t>
  </si>
  <si>
    <t xml:space="preserve">DIFERENCIA CON CATAR</t>
  </si>
  <si>
    <t xml:space="preserve">HORAS---&gt;</t>
  </si>
  <si>
    <t xml:space="preserve">Alemania</t>
  </si>
  <si>
    <t xml:space="preserve">España</t>
  </si>
  <si>
    <t xml:space="preserve">Arabia Saudí</t>
  </si>
  <si>
    <t xml:space="preserve">Argentina</t>
  </si>
  <si>
    <t xml:space="preserve">Brasil</t>
  </si>
  <si>
    <t xml:space="preserve">Australia</t>
  </si>
  <si>
    <t xml:space="preserve">Bélgica</t>
  </si>
  <si>
    <t xml:space="preserve">Francia</t>
  </si>
  <si>
    <t xml:space="preserve">Inglaterra</t>
  </si>
  <si>
    <t xml:space="preserve">Camerún</t>
  </si>
  <si>
    <t xml:space="preserve">GB</t>
  </si>
  <si>
    <t xml:space="preserve">Países Bajos</t>
  </si>
  <si>
    <t xml:space="preserve">Canadá</t>
  </si>
  <si>
    <t xml:space="preserve">Irán</t>
  </si>
  <si>
    <t xml:space="preserve">en minutos son 30</t>
  </si>
  <si>
    <t xml:space="preserve">Corea del Sur</t>
  </si>
  <si>
    <t xml:space="preserve">Japón</t>
  </si>
  <si>
    <t xml:space="preserve">Costa Rica</t>
  </si>
  <si>
    <t xml:space="preserve">Croacia</t>
  </si>
  <si>
    <t xml:space="preserve">Dinamarca</t>
  </si>
  <si>
    <t xml:space="preserve">Portugal</t>
  </si>
  <si>
    <t xml:space="preserve">Ecuador</t>
  </si>
  <si>
    <t xml:space="preserve">Uruguay</t>
  </si>
  <si>
    <t xml:space="preserve">Estados unidos</t>
  </si>
  <si>
    <t xml:space="preserve">México</t>
  </si>
  <si>
    <t xml:space="preserve">New York</t>
  </si>
  <si>
    <t xml:space="preserve">Gales</t>
  </si>
  <si>
    <t xml:space="preserve">Toronto</t>
  </si>
  <si>
    <t xml:space="preserve">Ghana</t>
  </si>
  <si>
    <t xml:space="preserve">Suiza</t>
  </si>
  <si>
    <t xml:space="preserve">Serbia</t>
  </si>
  <si>
    <t xml:space="preserve">Marruecos</t>
  </si>
  <si>
    <t xml:space="preserve">GD</t>
  </si>
  <si>
    <t xml:space="preserve">Túnez</t>
  </si>
  <si>
    <t xml:space="preserve">Senegal</t>
  </si>
  <si>
    <t xml:space="preserve">Polonia</t>
  </si>
  <si>
    <t xml:space="preserve">Canberra</t>
  </si>
  <si>
    <t xml:space="preserve">GE</t>
  </si>
  <si>
    <t xml:space="preserve">UTC -12</t>
  </si>
  <si>
    <t xml:space="preserve">UTC -11</t>
  </si>
  <si>
    <t xml:space="preserve">UTC -10</t>
  </si>
  <si>
    <t xml:space="preserve">UTC -9</t>
  </si>
  <si>
    <t xml:space="preserve">UTC -8</t>
  </si>
  <si>
    <t xml:space="preserve">UTC -7</t>
  </si>
  <si>
    <t xml:space="preserve">UTC -6</t>
  </si>
  <si>
    <t xml:space="preserve">UTC -5</t>
  </si>
  <si>
    <t xml:space="preserve">UTC -4</t>
  </si>
  <si>
    <t xml:space="preserve">UTC -3</t>
  </si>
  <si>
    <t xml:space="preserve">UTC -2</t>
  </si>
  <si>
    <t xml:space="preserve">UTC -1</t>
  </si>
  <si>
    <t xml:space="preserve">UTC 0</t>
  </si>
  <si>
    <t xml:space="preserve">UTC +1</t>
  </si>
  <si>
    <t xml:space="preserve">UTC +2</t>
  </si>
  <si>
    <t xml:space="preserve">UTC +3</t>
  </si>
  <si>
    <t xml:space="preserve">UTC +4</t>
  </si>
  <si>
    <t xml:space="preserve">UTC +5</t>
  </si>
  <si>
    <t xml:space="preserve">UTC +6</t>
  </si>
  <si>
    <t xml:space="preserve">UTC +7</t>
  </si>
  <si>
    <t xml:space="preserve">UTC +8</t>
  </si>
  <si>
    <t xml:space="preserve">UTC +9</t>
  </si>
  <si>
    <t xml:space="preserve">UTC +10</t>
  </si>
  <si>
    <t xml:space="preserve">GH</t>
  </si>
  <si>
    <t xml:space="preserve">UTC +11</t>
  </si>
  <si>
    <t xml:space="preserve">UTC +12</t>
  </si>
  <si>
    <t xml:space="preserve">OCTAVOS</t>
  </si>
  <si>
    <t xml:space="preserve">CUARTOS</t>
  </si>
  <si>
    <t xml:space="preserve">OK</t>
  </si>
  <si>
    <t xml:space="preserve">Grupo</t>
  </si>
  <si>
    <t xml:space="preserve">GRUPOS</t>
  </si>
  <si>
    <t xml:space="preserve">banderas</t>
  </si>
  <si>
    <t xml:space="preserve">🇶🇦</t>
  </si>
  <si>
    <t xml:space="preserve">🇪🇸</t>
  </si>
  <si>
    <t xml:space="preserve">🇦🇷</t>
  </si>
  <si>
    <t xml:space="preserve">Paises Bajos</t>
  </si>
  <si>
    <t xml:space="preserve">🇧🇷</t>
  </si>
  <si>
    <t xml:space="preserve">🇩🇪</t>
  </si>
  <si>
    <t xml:space="preserve">🇫🇷</t>
  </si>
  <si>
    <t xml:space="preserve">Italia</t>
  </si>
  <si>
    <t xml:space="preserve">🇮🇹</t>
  </si>
  <si>
    <t xml:space="preserve">🏴󠁧󠁢󠁥󠁮󠁧󠁿</t>
  </si>
  <si>
    <t xml:space="preserve">🇳🇱</t>
  </si>
  <si>
    <t xml:space="preserve">Arabia Saudita</t>
  </si>
  <si>
    <t xml:space="preserve">Rusia</t>
  </si>
  <si>
    <t xml:space="preserve">🇷🇺</t>
  </si>
  <si>
    <t xml:space="preserve">🇮🇷</t>
  </si>
  <si>
    <t xml:space="preserve">🇰🇷</t>
  </si>
  <si>
    <t xml:space="preserve">Emiratos Arabes Unidos</t>
  </si>
  <si>
    <t xml:space="preserve">🇦🇪</t>
  </si>
  <si>
    <t xml:space="preserve">Irak</t>
  </si>
  <si>
    <t xml:space="preserve">🇮🇶</t>
  </si>
  <si>
    <t xml:space="preserve">Siria</t>
  </si>
  <si>
    <t xml:space="preserve">🇸🇾</t>
  </si>
  <si>
    <t xml:space="preserve">Libano</t>
  </si>
  <si>
    <t xml:space="preserve">🇱🇧</t>
  </si>
  <si>
    <t xml:space="preserve">🇯🇵</t>
  </si>
  <si>
    <t xml:space="preserve">🇦🇺</t>
  </si>
  <si>
    <t xml:space="preserve">🇸🇦</t>
  </si>
  <si>
    <t xml:space="preserve">China</t>
  </si>
  <si>
    <t xml:space="preserve">🇨🇳</t>
  </si>
  <si>
    <t xml:space="preserve">Omán</t>
  </si>
  <si>
    <t xml:space="preserve">🇴🇲</t>
  </si>
  <si>
    <t xml:space="preserve">Vietnam</t>
  </si>
  <si>
    <t xml:space="preserve">🇻🇳</t>
  </si>
  <si>
    <t xml:space="preserve">🇧🇪</t>
  </si>
  <si>
    <t xml:space="preserve">🇵🇹</t>
  </si>
  <si>
    <t xml:space="preserve">🇪🇨</t>
  </si>
  <si>
    <t xml:space="preserve">🇺🇾</t>
  </si>
  <si>
    <t xml:space="preserve">Colombia</t>
  </si>
  <si>
    <t xml:space="preserve">🇨🇴</t>
  </si>
  <si>
    <t xml:space="preserve">Paraguay</t>
  </si>
  <si>
    <t xml:space="preserve">🇵🇾</t>
  </si>
  <si>
    <t xml:space="preserve">Chile</t>
  </si>
  <si>
    <t xml:space="preserve">🇨🇱</t>
  </si>
  <si>
    <t xml:space="preserve">🇲🇽</t>
  </si>
  <si>
    <t xml:space="preserve">🇺🇸</t>
  </si>
  <si>
    <t xml:space="preserve">🇨🇦</t>
  </si>
  <si>
    <t xml:space="preserve">🇨🇷</t>
  </si>
  <si>
    <t xml:space="preserve">El Salvador</t>
  </si>
  <si>
    <t xml:space="preserve">🇸🇻</t>
  </si>
  <si>
    <t xml:space="preserve">Honduras</t>
  </si>
  <si>
    <t xml:space="preserve">🇭🇳</t>
  </si>
  <si>
    <t xml:space="preserve">Jamaica</t>
  </si>
  <si>
    <t xml:space="preserve">🇯🇲</t>
  </si>
  <si>
    <t xml:space="preserve">Panamá</t>
  </si>
  <si>
    <t xml:space="preserve">🇵🇦</t>
  </si>
  <si>
    <t xml:space="preserve">🇷🇸</t>
  </si>
  <si>
    <t xml:space="preserve">Suecia</t>
  </si>
  <si>
    <t xml:space="preserve">🇸🇪</t>
  </si>
  <si>
    <t xml:space="preserve">🇨🇭</t>
  </si>
  <si>
    <t xml:space="preserve">🇩🇰</t>
  </si>
  <si>
    <t xml:space="preserve">Escocia</t>
  </si>
  <si>
    <t xml:space="preserve">🏴󠁧󠁢󠁳󠁣󠁴󠁿</t>
  </si>
  <si>
    <t xml:space="preserve">Turquía</t>
  </si>
  <si>
    <t xml:space="preserve">🇹🇷</t>
  </si>
  <si>
    <t xml:space="preserve">🇭🇷</t>
  </si>
  <si>
    <t xml:space="preserve">🇹🇳</t>
  </si>
  <si>
    <t xml:space="preserve">🇸🇳</t>
  </si>
  <si>
    <t xml:space="preserve">🇲🇦</t>
  </si>
  <si>
    <t xml:space="preserve">🇵🇱</t>
  </si>
  <si>
    <t xml:space="preserve">🇨🇲</t>
  </si>
  <si>
    <t xml:space="preserve">🇬🇭</t>
  </si>
  <si>
    <t xml:space="preserve">🏴󠁧󠁢󠁷󠁬󠁳󠁿</t>
  </si>
  <si>
    <t xml:space="preserve">Ucrania</t>
  </si>
  <si>
    <t xml:space="preserve">🇺🇦</t>
  </si>
  <si>
    <t xml:space="preserve">Perú</t>
  </si>
  <si>
    <t xml:space="preserve">🇵🇪</t>
  </si>
  <si>
    <t xml:space="preserve">Nueva Zelanda</t>
  </si>
  <si>
    <t xml:space="preserve">🇳🇿</t>
  </si>
  <si>
    <t xml:space="preserve">Islas Salomón</t>
  </si>
  <si>
    <t xml:space="preserve">🇸🇧</t>
  </si>
  <si>
    <t xml:space="preserve">BOMBO 1</t>
  </si>
  <si>
    <t xml:space="preserve">Qatar</t>
  </si>
  <si>
    <t xml:space="preserve">Limitación de responsabilidad:</t>
  </si>
  <si>
    <t xml:space="preserve">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</si>
  <si>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 xml:space="preserve">Autor:</t>
  </si>
  <si>
    <t xml:space="preserve">Miguel Angel Tejero</t>
  </si>
  <si>
    <r>
      <rPr>
        <b val="true"/>
        <sz val="11"/>
        <color rgb="FF000000"/>
        <rFont val="Calibri"/>
        <family val="2"/>
        <charset val="1"/>
      </rPr>
      <t xml:space="preserve">Fecha de la útima versión:</t>
    </r>
    <r>
      <rPr>
        <sz val="11"/>
        <color rgb="FF000000"/>
        <rFont val="Calibri"/>
        <family val="2"/>
        <charset val="1"/>
      </rPr>
      <t xml:space="preserve"> 12/08/2022: Actualización de las fechas de la 1ª Jornada del grupo A.</t>
    </r>
  </si>
  <si>
    <t xml:space="preserve">Video con las instrucciones</t>
  </si>
  <si>
    <t xml:space="preserve">English version</t>
  </si>
  <si>
    <t xml:space="preserve">Otros archivos Excel</t>
  </si>
</sst>
</file>

<file path=xl/styles.xml><?xml version="1.0" encoding="utf-8"?>
<styleSheet xmlns="http://schemas.openxmlformats.org/spreadsheetml/2006/main">
  <numFmts count="12">
    <numFmt numFmtId="164" formatCode="General"/>
    <numFmt numFmtId="165" formatCode="#,##0"/>
    <numFmt numFmtId="166" formatCode="General"/>
    <numFmt numFmtId="167" formatCode="[$-100A]DD/MM/YYYY"/>
    <numFmt numFmtId="168" formatCode="H:MM;@"/>
    <numFmt numFmtId="169" formatCode="0.00"/>
    <numFmt numFmtId="170" formatCode="@"/>
    <numFmt numFmtId="171" formatCode="[$-100A]MMM\-YY"/>
    <numFmt numFmtId="172" formatCode="[$-100A]DD/MM/YYYY\ HH:MM"/>
    <numFmt numFmtId="173" formatCode="[$-100A]DD\-MMM"/>
    <numFmt numFmtId="174" formatCode="[$-100A]HH:MM"/>
    <numFmt numFmtId="175" formatCode="0.0"/>
  </numFmts>
  <fonts count="78">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sz val="14"/>
      <color rgb="FF000000"/>
      <name val="Calibri"/>
      <family val="2"/>
      <charset val="1"/>
    </font>
    <font>
      <b val="true"/>
      <sz val="13"/>
      <color rgb="FF000000"/>
      <name val="Arial"/>
      <family val="2"/>
      <charset val="1"/>
    </font>
    <font>
      <sz val="11"/>
      <color rgb="FFF2F2F2"/>
      <name val="Calibri"/>
      <family val="2"/>
      <charset val="1"/>
    </font>
    <font>
      <b val="true"/>
      <sz val="11"/>
      <color rgb="FFFF0000"/>
      <name val="Calibri"/>
      <family val="0"/>
    </font>
    <font>
      <sz val="11"/>
      <color rgb="FFFF0000"/>
      <name val="Calibri"/>
      <family val="0"/>
    </font>
    <font>
      <b val="true"/>
      <sz val="16"/>
      <color rgb="FFFFFFFF"/>
      <name val="Calibri"/>
      <family val="0"/>
    </font>
    <font>
      <sz val="14"/>
      <color rgb="FFFFFFFF"/>
      <name val="Calibri"/>
      <family val="0"/>
    </font>
    <font>
      <b val="true"/>
      <sz val="14"/>
      <color rgb="FFFFFFFF"/>
      <name val="Calibri"/>
      <family val="0"/>
    </font>
    <font>
      <b val="true"/>
      <sz val="18"/>
      <color rgb="FF000000"/>
      <name val="Calibri"/>
      <family val="0"/>
    </font>
    <font>
      <b val="true"/>
      <sz val="24"/>
      <color rgb="FFFFFFFF"/>
      <name val="Calibri"/>
      <family val="0"/>
    </font>
    <font>
      <b val="true"/>
      <sz val="20"/>
      <color rgb="FFFFFFFF"/>
      <name val="Calibri"/>
      <family val="0"/>
    </font>
    <font>
      <b val="true"/>
      <sz val="12"/>
      <color rgb="FFFFFFFF"/>
      <name val="Calibri"/>
      <family val="0"/>
    </font>
    <font>
      <b val="true"/>
      <sz val="11"/>
      <color rgb="FFFFFFFF"/>
      <name val="Calibri"/>
      <family val="0"/>
    </font>
    <font>
      <sz val="10.5"/>
      <color rgb="FFFFFFFF"/>
      <name val="Calibri"/>
      <family val="0"/>
    </font>
    <font>
      <b val="true"/>
      <sz val="18"/>
      <color rgb="FFFFFFFF"/>
      <name val="Calibri"/>
      <family val="0"/>
    </font>
    <font>
      <sz val="11"/>
      <color rgb="FF0056A4"/>
      <name val="Calibri"/>
      <family val="2"/>
      <charset val="1"/>
    </font>
    <font>
      <sz val="11"/>
      <color rgb="FFFFFFFF"/>
      <name val="Calibri"/>
      <family val="2"/>
      <charset val="1"/>
    </font>
    <font>
      <b val="true"/>
      <sz val="11"/>
      <color rgb="FF0056A4"/>
      <name val="Calibri"/>
      <family val="2"/>
      <charset val="1"/>
    </font>
    <font>
      <b val="true"/>
      <sz val="11"/>
      <color rgb="FFFF0000"/>
      <name val="Calibri"/>
      <family val="2"/>
      <charset val="1"/>
    </font>
    <font>
      <b val="true"/>
      <sz val="11"/>
      <color rgb="FFFFFFFF"/>
      <name val="Calibri"/>
      <family val="2"/>
      <charset val="1"/>
    </font>
    <font>
      <b val="true"/>
      <sz val="11"/>
      <color rgb="FF000000"/>
      <name val="Calibri"/>
      <family val="2"/>
      <charset val="1"/>
    </font>
    <font>
      <b val="true"/>
      <sz val="12"/>
      <color rgb="FFFFFFFF"/>
      <name val="Calibri"/>
      <family val="2"/>
      <charset val="1"/>
    </font>
    <font>
      <b val="true"/>
      <sz val="11"/>
      <color rgb="FF1F497D"/>
      <name val="Calibri"/>
      <family val="2"/>
      <charset val="1"/>
    </font>
    <font>
      <b val="true"/>
      <sz val="36"/>
      <color rgb="FFFFFFFF"/>
      <name val="Calibri"/>
      <family val="2"/>
      <charset val="1"/>
    </font>
    <font>
      <sz val="10"/>
      <color rgb="FFFFFFFF"/>
      <name val="Calibri"/>
      <family val="2"/>
      <charset val="1"/>
    </font>
    <font>
      <sz val="5"/>
      <color rgb="FFFFFFFF"/>
      <name val="Calibri"/>
      <family val="2"/>
      <charset val="1"/>
    </font>
    <font>
      <b val="true"/>
      <sz val="11"/>
      <color rgb="FF0056A3"/>
      <name val="Calibri"/>
      <family val="2"/>
      <charset val="1"/>
    </font>
    <font>
      <sz val="8"/>
      <color rgb="FF0056A3"/>
      <name val="Calibri"/>
      <family val="2"/>
      <charset val="1"/>
    </font>
    <font>
      <b val="true"/>
      <sz val="11"/>
      <name val="Calibri"/>
      <family val="2"/>
      <charset val="1"/>
    </font>
    <font>
      <b val="true"/>
      <sz val="8"/>
      <name val="Calibri"/>
      <family val="2"/>
      <charset val="1"/>
    </font>
    <font>
      <b val="true"/>
      <sz val="10"/>
      <color rgb="FFFFFFFF"/>
      <name val="Calibri"/>
      <family val="2"/>
      <charset val="1"/>
    </font>
    <font>
      <b val="true"/>
      <sz val="10"/>
      <color rgb="FFF2F2F2"/>
      <name val="Calibri"/>
      <family val="2"/>
      <charset val="1"/>
    </font>
    <font>
      <b val="true"/>
      <sz val="10"/>
      <name val="Calibri"/>
      <family val="2"/>
      <charset val="1"/>
    </font>
    <font>
      <b val="true"/>
      <sz val="10"/>
      <color rgb="FF000000"/>
      <name val="Calibri"/>
      <family val="2"/>
      <charset val="1"/>
    </font>
    <font>
      <sz val="8"/>
      <color rgb="FFFFFFFF"/>
      <name val="Calibri"/>
      <family val="2"/>
      <charset val="1"/>
    </font>
    <font>
      <b val="true"/>
      <sz val="8"/>
      <color rgb="FF1F497D"/>
      <name val="Calibri"/>
      <family val="2"/>
      <charset val="1"/>
    </font>
    <font>
      <b val="true"/>
      <sz val="8"/>
      <color rgb="FF0056A3"/>
      <name val="Calibri"/>
      <family val="2"/>
      <charset val="1"/>
    </font>
    <font>
      <b val="true"/>
      <sz val="8"/>
      <color rgb="FFFFFFFF"/>
      <name val="Calibri"/>
      <family val="2"/>
      <charset val="1"/>
    </font>
    <font>
      <b val="true"/>
      <sz val="5"/>
      <color rgb="FF000000"/>
      <name val="Calibri"/>
      <family val="2"/>
      <charset val="1"/>
    </font>
    <font>
      <b val="true"/>
      <sz val="8"/>
      <color rgb="FF000000"/>
      <name val="Calibri"/>
      <family val="2"/>
      <charset val="1"/>
    </font>
    <font>
      <b val="true"/>
      <sz val="5"/>
      <color rgb="FF1F497D"/>
      <name val="Calibri"/>
      <family val="2"/>
      <charset val="1"/>
    </font>
    <font>
      <sz val="11"/>
      <color rgb="FFFF0000"/>
      <name val="Calibri"/>
      <family val="2"/>
      <charset val="1"/>
    </font>
    <font>
      <sz val="8"/>
      <color rgb="FFFF0000"/>
      <name val="Calibri"/>
      <family val="2"/>
      <charset val="1"/>
    </font>
    <font>
      <sz val="5"/>
      <color rgb="FFFF0000"/>
      <name val="Calibri"/>
      <family val="2"/>
      <charset val="1"/>
    </font>
    <font>
      <b val="true"/>
      <sz val="5"/>
      <name val="Calibri"/>
      <family val="2"/>
      <charset val="1"/>
    </font>
    <font>
      <b val="true"/>
      <sz val="20"/>
      <color rgb="FFFFFFFF"/>
      <name val="Calibri"/>
      <family val="2"/>
      <charset val="1"/>
    </font>
    <font>
      <b val="true"/>
      <sz val="10"/>
      <color rgb="FF0056A4"/>
      <name val="Calibri"/>
      <family val="2"/>
      <charset val="1"/>
    </font>
    <font>
      <sz val="9"/>
      <color rgb="FFD9D9D9"/>
      <name val="Arial"/>
      <family val="2"/>
      <charset val="1"/>
    </font>
    <font>
      <b val="true"/>
      <sz val="16"/>
      <color rgb="FFFFFFFF"/>
      <name val="Calibri"/>
      <family val="2"/>
      <charset val="1"/>
    </font>
    <font>
      <b val="true"/>
      <sz val="5"/>
      <color rgb="FFFFFFFF"/>
      <name val="Calibri"/>
      <family val="2"/>
      <charset val="1"/>
    </font>
    <font>
      <b val="true"/>
      <sz val="10"/>
      <color rgb="FF1F497D"/>
      <name val="Calibri"/>
      <family val="2"/>
      <charset val="1"/>
    </font>
    <font>
      <b val="true"/>
      <sz val="14"/>
      <color rgb="FFFFFFFF"/>
      <name val="Calibri"/>
      <family val="2"/>
      <charset val="1"/>
    </font>
    <font>
      <sz val="14"/>
      <color rgb="FFFFFFFF"/>
      <name val="Calibri"/>
      <family val="2"/>
      <charset val="1"/>
    </font>
    <font>
      <b val="true"/>
      <sz val="24"/>
      <color rgb="FFFFFFFF"/>
      <name val="Calibri"/>
      <family val="2"/>
      <charset val="1"/>
    </font>
    <font>
      <sz val="12"/>
      <color rgb="FFFFFFFF"/>
      <name val="Calibri"/>
      <family val="2"/>
      <charset val="1"/>
    </font>
    <font>
      <sz val="20"/>
      <color rgb="FFFFFFFF"/>
      <name val="Calibri"/>
      <family val="2"/>
      <charset val="1"/>
    </font>
    <font>
      <b val="true"/>
      <sz val="8"/>
      <color rgb="FFFFFFFF"/>
      <name val="Calibri (Cuerpo)"/>
      <family val="0"/>
      <charset val="1"/>
    </font>
    <font>
      <sz val="9"/>
      <color rgb="FFFFFFFF"/>
      <name val="Calibri"/>
      <family val="2"/>
      <charset val="1"/>
    </font>
    <font>
      <sz val="12"/>
      <color rgb="FF000000"/>
      <name val="Calibri"/>
      <family val="2"/>
      <charset val="1"/>
    </font>
    <font>
      <sz val="5"/>
      <color rgb="FF000000"/>
      <name val="Calibri"/>
      <family val="2"/>
      <charset val="1"/>
    </font>
    <font>
      <b val="true"/>
      <sz val="13"/>
      <color rgb="FFFFFFFF"/>
      <name val="Calibri"/>
      <family val="2"/>
      <charset val="1"/>
    </font>
    <font>
      <sz val="13"/>
      <color rgb="FF000000"/>
      <name val="Calibri"/>
      <family val="2"/>
      <charset val="1"/>
    </font>
    <font>
      <sz val="13"/>
      <color rgb="FFFFFFFF"/>
      <name val="Calibri"/>
      <family val="2"/>
      <charset val="1"/>
    </font>
    <font>
      <sz val="11"/>
      <color rgb="FFFFFFFF"/>
      <name val="Calibri"/>
      <family val="0"/>
    </font>
    <font>
      <b val="true"/>
      <sz val="14"/>
      <color rgb="FF000000"/>
      <name val="Calibri"/>
      <family val="2"/>
      <charset val="1"/>
    </font>
    <font>
      <sz val="10"/>
      <color rgb="FF000000"/>
      <name val="Calibri"/>
      <family val="2"/>
      <charset val="1"/>
    </font>
    <font>
      <b val="true"/>
      <sz val="48"/>
      <color rgb="FFFFFFFF"/>
      <name val="Calibri"/>
      <family val="2"/>
      <charset val="1"/>
    </font>
    <font>
      <u val="single"/>
      <sz val="11"/>
      <color rgb="FF000000"/>
      <name val="Calibri"/>
      <family val="2"/>
      <charset val="1"/>
    </font>
    <font>
      <sz val="11"/>
      <color rgb="FFFFFFFF"/>
      <name val="Roboto"/>
      <family val="0"/>
      <charset val="1"/>
    </font>
    <font>
      <sz val="12"/>
      <color rgb="FFFFFFFF"/>
      <name val="Arial"/>
      <family val="2"/>
      <charset val="1"/>
    </font>
    <font>
      <b val="true"/>
      <sz val="11"/>
      <color rgb="FFFFFFFF"/>
      <name val="Roboto"/>
      <family val="0"/>
      <charset val="1"/>
    </font>
    <font>
      <sz val="11"/>
      <color rgb="FF0000FF"/>
      <name val="Calibri"/>
      <family val="2"/>
      <charset val="1"/>
    </font>
    <font>
      <sz val="11"/>
      <name val="Calibri"/>
      <family val="2"/>
      <charset val="1"/>
    </font>
  </fonts>
  <fills count="41">
    <fill>
      <patternFill patternType="none"/>
    </fill>
    <fill>
      <patternFill patternType="gray125"/>
    </fill>
    <fill>
      <patternFill patternType="solid">
        <fgColor rgb="FFFFFFFF"/>
        <bgColor rgb="FFF2F2F2"/>
      </patternFill>
    </fill>
    <fill>
      <patternFill patternType="solid">
        <fgColor rgb="FF0056A3"/>
        <bgColor rgb="FF0056A4"/>
      </patternFill>
    </fill>
    <fill>
      <patternFill patternType="solid">
        <fgColor rgb="FFF6A302"/>
        <bgColor rgb="FFFFA800"/>
      </patternFill>
    </fill>
    <fill>
      <patternFill patternType="solid">
        <fgColor rgb="FF019535"/>
        <bgColor rgb="FF01A439"/>
      </patternFill>
    </fill>
    <fill>
      <patternFill patternType="solid">
        <fgColor rgb="FF01A439"/>
        <bgColor rgb="FF00A439"/>
      </patternFill>
    </fill>
    <fill>
      <patternFill patternType="solid">
        <fgColor rgb="FFF2F2F2"/>
        <bgColor rgb="FFEBF1DE"/>
      </patternFill>
    </fill>
    <fill>
      <patternFill patternType="solid">
        <fgColor rgb="FFFFA800"/>
        <bgColor rgb="FFF6A302"/>
      </patternFill>
    </fill>
    <fill>
      <patternFill patternType="solid">
        <fgColor rgb="FFFEC200"/>
        <bgColor rgb="FFFFBE00"/>
      </patternFill>
    </fill>
    <fill>
      <patternFill patternType="solid">
        <fgColor rgb="FF0098A6"/>
        <bgColor rgb="FF00B3C9"/>
      </patternFill>
    </fill>
    <fill>
      <patternFill patternType="solid">
        <fgColor rgb="FF00B3C9"/>
        <bgColor rgb="FF0098A6"/>
      </patternFill>
    </fill>
    <fill>
      <patternFill patternType="solid">
        <fgColor rgb="FFC65911"/>
        <bgColor rgb="FFAB402E"/>
      </patternFill>
    </fill>
    <fill>
      <patternFill patternType="solid">
        <fgColor rgb="FFF4B084"/>
        <bgColor rgb="FFFFBE56"/>
      </patternFill>
    </fill>
    <fill>
      <patternFill patternType="solid">
        <fgColor rgb="FF963633"/>
        <bgColor rgb="FFAB402E"/>
      </patternFill>
    </fill>
    <fill>
      <patternFill patternType="solid">
        <fgColor rgb="FFAB402E"/>
        <bgColor rgb="FF963633"/>
      </patternFill>
    </fill>
    <fill>
      <patternFill patternType="solid">
        <fgColor rgb="FF7B7B7B"/>
        <bgColor rgb="FF4F80BC"/>
      </patternFill>
    </fill>
    <fill>
      <patternFill patternType="solid">
        <fgColor rgb="FFC9C9C9"/>
        <bgColor rgb="FFCECECE"/>
      </patternFill>
    </fill>
    <fill>
      <patternFill patternType="solid">
        <fgColor rgb="FF1F4E78"/>
        <bgColor rgb="FF1F497D"/>
      </patternFill>
    </fill>
    <fill>
      <patternFill patternType="solid">
        <fgColor rgb="FF2F75B5"/>
        <bgColor rgb="FF4F80BC"/>
      </patternFill>
    </fill>
    <fill>
      <patternFill patternType="solid">
        <fgColor rgb="FF4F81BD"/>
        <bgColor rgb="FF4F80BC"/>
      </patternFill>
    </fill>
    <fill>
      <patternFill patternType="solid">
        <fgColor rgb="FF95B3D7"/>
        <bgColor rgb="FF8EB4E3"/>
      </patternFill>
    </fill>
    <fill>
      <patternFill patternType="solid">
        <fgColor rgb="FF7E3680"/>
        <bgColor rgb="FF913D92"/>
      </patternFill>
    </fill>
    <fill>
      <patternFill patternType="solid">
        <fgColor rgb="FF913D92"/>
        <bgColor rgb="FF7E3680"/>
      </patternFill>
    </fill>
    <fill>
      <patternFill patternType="solid">
        <fgColor rgb="FFB37836"/>
        <bgColor rgb="FFC65911"/>
      </patternFill>
    </fill>
    <fill>
      <patternFill patternType="solid">
        <fgColor rgb="FFE29843"/>
        <bgColor rgb="FFF6A302"/>
      </patternFill>
    </fill>
    <fill>
      <patternFill patternType="solid">
        <fgColor rgb="FFFFBE56"/>
        <bgColor rgb="FFEEBB4C"/>
      </patternFill>
    </fill>
    <fill>
      <patternFill patternType="solid">
        <fgColor rgb="FFBF162B"/>
        <bgColor rgb="FFA50004"/>
      </patternFill>
    </fill>
    <fill>
      <patternFill patternType="solid">
        <fgColor rgb="FFA50004"/>
        <bgColor rgb="FF9C0006"/>
      </patternFill>
    </fill>
    <fill>
      <patternFill patternType="solid">
        <fgColor rgb="FF8EB4E3"/>
        <bgColor rgb="FF95B3D7"/>
      </patternFill>
    </fill>
    <fill>
      <patternFill patternType="solid">
        <fgColor rgb="FFD9D9D9"/>
        <bgColor rgb="FFCECECE"/>
      </patternFill>
    </fill>
    <fill>
      <patternFill patternType="solid">
        <fgColor rgb="FFFFBE00"/>
        <bgColor rgb="FFFEC200"/>
      </patternFill>
    </fill>
    <fill>
      <patternFill patternType="solid">
        <fgColor rgb="FFFF0000"/>
        <bgColor rgb="FFBF162B"/>
      </patternFill>
    </fill>
    <fill>
      <patternFill patternType="solid">
        <fgColor rgb="FF92D050"/>
        <bgColor rgb="FFC3D69B"/>
      </patternFill>
    </fill>
    <fill>
      <patternFill patternType="solid">
        <fgColor rgb="FFC4BD97"/>
        <bgColor rgb="FFC9C9C9"/>
      </patternFill>
    </fill>
    <fill>
      <patternFill patternType="solid">
        <fgColor rgb="FFD99694"/>
        <bgColor rgb="FFF4B084"/>
      </patternFill>
    </fill>
    <fill>
      <patternFill patternType="solid">
        <fgColor rgb="FFC3D69B"/>
        <bgColor rgb="FFC4D79B"/>
      </patternFill>
    </fill>
    <fill>
      <patternFill patternType="solid">
        <fgColor rgb="FFFDEADA"/>
        <bgColor rgb="FFEBF1DE"/>
      </patternFill>
    </fill>
    <fill>
      <patternFill patternType="solid">
        <fgColor rgb="FFDBEEF4"/>
        <bgColor rgb="FFEBF1DE"/>
      </patternFill>
    </fill>
    <fill>
      <patternFill patternType="solid">
        <fgColor rgb="FFEBF1DE"/>
        <bgColor rgb="FFF2F2F2"/>
      </patternFill>
    </fill>
    <fill>
      <patternFill patternType="solid">
        <fgColor rgb="FFEEBB4C"/>
        <bgColor rgb="FFFFBE56"/>
      </patternFill>
    </fill>
  </fills>
  <borders count="354">
    <border diagonalUp="false" diagonalDown="false">
      <left/>
      <right/>
      <top/>
      <bottom/>
      <diagonal/>
    </border>
    <border diagonalUp="false" diagonalDown="false">
      <left style="medium">
        <color rgb="FF019535"/>
      </left>
      <right/>
      <top style="medium">
        <color rgb="FF019535"/>
      </top>
      <bottom style="medium">
        <color rgb="FF019535"/>
      </bottom>
      <diagonal/>
    </border>
    <border diagonalUp="false" diagonalDown="false">
      <left/>
      <right/>
      <top style="medium">
        <color rgb="FF019535"/>
      </top>
      <bottom/>
      <diagonal/>
    </border>
    <border diagonalUp="false" diagonalDown="false">
      <left style="thin">
        <color rgb="FFFFFFFF"/>
      </left>
      <right/>
      <top style="medium">
        <color rgb="FF019535"/>
      </top>
      <bottom/>
      <diagonal/>
    </border>
    <border diagonalUp="false" diagonalDown="false">
      <left/>
      <right style="thin">
        <color rgb="FFFFFFFF"/>
      </right>
      <top style="medium">
        <color rgb="FF019535"/>
      </top>
      <bottom/>
      <diagonal/>
    </border>
    <border diagonalUp="false" diagonalDown="false">
      <left style="thin">
        <color rgb="FFFFFFFF"/>
      </left>
      <right style="thin">
        <color rgb="FFFFFFFF"/>
      </right>
      <top style="medium">
        <color rgb="FF019535"/>
      </top>
      <bottom style="thin">
        <color rgb="FFFFFFFF"/>
      </bottom>
      <diagonal/>
    </border>
    <border diagonalUp="false" diagonalDown="false">
      <left/>
      <right style="medium">
        <color rgb="FF019535"/>
      </right>
      <top style="medium">
        <color rgb="FF019535"/>
      </top>
      <bottom/>
      <diagonal/>
    </border>
    <border diagonalUp="false" diagonalDown="false">
      <left style="medium">
        <color rgb="FF019535"/>
      </left>
      <right style="medium">
        <color rgb="FF019535"/>
      </right>
      <top style="medium">
        <color rgb="FF019535"/>
      </top>
      <bottom/>
      <diagonal/>
    </border>
    <border diagonalUp="false" diagonalDown="false">
      <left style="thin">
        <color rgb="FFFFFFFF"/>
      </left>
      <right/>
      <top/>
      <bottom/>
      <diagonal/>
    </border>
    <border diagonalUp="false" diagonalDown="false">
      <left/>
      <right style="thin">
        <color rgb="FFFFFFFF"/>
      </right>
      <top/>
      <bottom/>
      <diagonal/>
    </border>
    <border diagonalUp="false" diagonalDown="false">
      <left style="thin">
        <color rgb="FFFFFFFF"/>
      </left>
      <right style="thin">
        <color rgb="FFFFFFFF"/>
      </right>
      <top/>
      <bottom style="thin">
        <color rgb="FFFFFFFF"/>
      </bottom>
      <diagonal/>
    </border>
    <border diagonalUp="false" diagonalDown="false">
      <left/>
      <right style="medium">
        <color rgb="FF019535"/>
      </right>
      <top/>
      <bottom/>
      <diagonal/>
    </border>
    <border diagonalUp="false" diagonalDown="false">
      <left style="medium">
        <color rgb="FF019535"/>
      </left>
      <right/>
      <top/>
      <bottom style="medium">
        <color rgb="FF019535"/>
      </bottom>
      <diagonal/>
    </border>
    <border diagonalUp="false" diagonalDown="false">
      <left/>
      <right/>
      <top/>
      <bottom style="medium">
        <color rgb="FF019535"/>
      </bottom>
      <diagonal/>
    </border>
    <border diagonalUp="false" diagonalDown="false">
      <left/>
      <right style="medium">
        <color rgb="FF019535"/>
      </right>
      <top/>
      <bottom style="medium">
        <color rgb="FF019535"/>
      </bottom>
      <diagonal/>
    </border>
    <border diagonalUp="false" diagonalDown="false">
      <left style="medium">
        <color rgb="FF019535"/>
      </left>
      <right/>
      <top style="medium">
        <color rgb="FF019535"/>
      </top>
      <bottom/>
      <diagonal/>
    </border>
    <border diagonalUp="false" diagonalDown="false">
      <left style="medium">
        <color rgb="FF019535"/>
      </left>
      <right/>
      <top/>
      <bottom/>
      <diagonal/>
    </border>
    <border diagonalUp="false" diagonalDown="false">
      <left style="thin">
        <color rgb="FFFFFFFF"/>
      </left>
      <right/>
      <top/>
      <bottom style="medium">
        <color rgb="FF019535"/>
      </bottom>
      <diagonal/>
    </border>
    <border diagonalUp="false" diagonalDown="false">
      <left/>
      <right style="thin">
        <color rgb="FFFFFFFF"/>
      </right>
      <top/>
      <bottom style="medium">
        <color rgb="FF019535"/>
      </bottom>
      <diagonal/>
    </border>
    <border diagonalUp="false" diagonalDown="false">
      <left style="thin">
        <color rgb="FFFFFFFF"/>
      </left>
      <right style="thin">
        <color rgb="FFFFFFFF"/>
      </right>
      <top/>
      <bottom style="medium">
        <color rgb="FF019535"/>
      </bottom>
      <diagonal/>
    </border>
    <border diagonalUp="false" diagonalDown="false">
      <left style="medium">
        <color rgb="FFFFA800"/>
      </left>
      <right/>
      <top style="medium">
        <color rgb="FFFFA800"/>
      </top>
      <bottom style="medium">
        <color rgb="FFFFA800"/>
      </bottom>
      <diagonal/>
    </border>
    <border diagonalUp="false" diagonalDown="false">
      <left/>
      <right/>
      <top style="medium">
        <color rgb="FFFFA800"/>
      </top>
      <bottom/>
      <diagonal/>
    </border>
    <border diagonalUp="false" diagonalDown="false">
      <left style="thin">
        <color rgb="FFFFFFFF"/>
      </left>
      <right/>
      <top style="medium">
        <color rgb="FFFFA800"/>
      </top>
      <bottom/>
      <diagonal/>
    </border>
    <border diagonalUp="false" diagonalDown="false">
      <left/>
      <right style="thin">
        <color rgb="FFFFFFFF"/>
      </right>
      <top style="medium">
        <color rgb="FFFFA800"/>
      </top>
      <bottom/>
      <diagonal/>
    </border>
    <border diagonalUp="false" diagonalDown="false">
      <left style="thin">
        <color rgb="FFFFFFFF"/>
      </left>
      <right style="thin">
        <color rgb="FFFFFFFF"/>
      </right>
      <top style="medium">
        <color rgb="FFFFA800"/>
      </top>
      <bottom style="thin">
        <color rgb="FFFFFFFF"/>
      </bottom>
      <diagonal/>
    </border>
    <border diagonalUp="false" diagonalDown="false">
      <left/>
      <right style="medium">
        <color rgb="FFFFA800"/>
      </right>
      <top style="medium">
        <color rgb="FFFFA800"/>
      </top>
      <bottom/>
      <diagonal/>
    </border>
    <border diagonalUp="false" diagonalDown="false">
      <left style="medium">
        <color rgb="FFFFA800"/>
      </left>
      <right style="medium">
        <color rgb="FFFFA800"/>
      </right>
      <top style="medium">
        <color rgb="FFFFA800"/>
      </top>
      <bottom/>
      <diagonal/>
    </border>
    <border diagonalUp="false" diagonalDown="false">
      <left/>
      <right style="medium">
        <color rgb="FFFFA800"/>
      </right>
      <top/>
      <bottom/>
      <diagonal/>
    </border>
    <border diagonalUp="false" diagonalDown="false">
      <left style="medium">
        <color rgb="FFFFA800"/>
      </left>
      <right/>
      <top/>
      <bottom style="medium">
        <color rgb="FFFFA800"/>
      </bottom>
      <diagonal/>
    </border>
    <border diagonalUp="false" diagonalDown="false">
      <left/>
      <right/>
      <top/>
      <bottom style="medium">
        <color rgb="FFFFA800"/>
      </bottom>
      <diagonal/>
    </border>
    <border diagonalUp="false" diagonalDown="false">
      <left/>
      <right style="medium">
        <color rgb="FFFFA800"/>
      </right>
      <top/>
      <bottom style="medium">
        <color rgb="FFFFA800"/>
      </bottom>
      <diagonal/>
    </border>
    <border diagonalUp="false" diagonalDown="false">
      <left style="medium">
        <color rgb="FFFFA800"/>
      </left>
      <right/>
      <top style="medium">
        <color rgb="FFFFA800"/>
      </top>
      <bottom/>
      <diagonal/>
    </border>
    <border diagonalUp="false" diagonalDown="false">
      <left style="medium">
        <color rgb="FFFFA800"/>
      </left>
      <right/>
      <top/>
      <bottom/>
      <diagonal/>
    </border>
    <border diagonalUp="false" diagonalDown="false">
      <left style="thin">
        <color rgb="FFFFFFFF"/>
      </left>
      <right/>
      <top/>
      <bottom style="medium">
        <color rgb="FFFFA800"/>
      </bottom>
      <diagonal/>
    </border>
    <border diagonalUp="false" diagonalDown="false">
      <left/>
      <right style="thin">
        <color rgb="FFFFFFFF"/>
      </right>
      <top/>
      <bottom style="medium">
        <color rgb="FFFFA800"/>
      </bottom>
      <diagonal/>
    </border>
    <border diagonalUp="false" diagonalDown="false">
      <left style="thin">
        <color rgb="FFFFFFFF"/>
      </left>
      <right style="thin">
        <color rgb="FFFFFFFF"/>
      </right>
      <top/>
      <bottom style="medium">
        <color rgb="FFFFA800"/>
      </bottom>
      <diagonal/>
    </border>
    <border diagonalUp="false" diagonalDown="false">
      <left style="medium">
        <color rgb="FF0098A6"/>
      </left>
      <right/>
      <top style="medium">
        <color rgb="FF0098A6"/>
      </top>
      <bottom style="medium">
        <color rgb="FF0098A6"/>
      </bottom>
      <diagonal/>
    </border>
    <border diagonalUp="false" diagonalDown="false">
      <left/>
      <right/>
      <top style="medium">
        <color rgb="FF0098A6"/>
      </top>
      <bottom/>
      <diagonal/>
    </border>
    <border diagonalUp="false" diagonalDown="false">
      <left style="thin">
        <color rgb="FFFFFFFF"/>
      </left>
      <right/>
      <top style="medium">
        <color rgb="FF0098A6"/>
      </top>
      <bottom/>
      <diagonal/>
    </border>
    <border diagonalUp="false" diagonalDown="false">
      <left/>
      <right style="thin">
        <color rgb="FFFFFFFF"/>
      </right>
      <top style="medium">
        <color rgb="FF0098A6"/>
      </top>
      <bottom/>
      <diagonal/>
    </border>
    <border diagonalUp="false" diagonalDown="false">
      <left style="thin">
        <color rgb="FFFFFFFF"/>
      </left>
      <right style="thin">
        <color rgb="FFFFFFFF"/>
      </right>
      <top style="medium">
        <color rgb="FF0098A6"/>
      </top>
      <bottom style="thin">
        <color rgb="FFFFFFFF"/>
      </bottom>
      <diagonal/>
    </border>
    <border diagonalUp="false" diagonalDown="false">
      <left/>
      <right style="medium">
        <color rgb="FF0098A6"/>
      </right>
      <top style="medium">
        <color rgb="FF0098A6"/>
      </top>
      <bottom/>
      <diagonal/>
    </border>
    <border diagonalUp="false" diagonalDown="false">
      <left style="medium">
        <color rgb="FF0098A6"/>
      </left>
      <right style="medium">
        <color rgb="FF0098A6"/>
      </right>
      <top style="medium">
        <color rgb="FF0098A6"/>
      </top>
      <bottom/>
      <diagonal/>
    </border>
    <border diagonalUp="false" diagonalDown="false">
      <left/>
      <right style="medium">
        <color rgb="FF0098A6"/>
      </right>
      <top/>
      <bottom/>
      <diagonal/>
    </border>
    <border diagonalUp="false" diagonalDown="false">
      <left style="medium">
        <color rgb="FF0098A6"/>
      </left>
      <right/>
      <top/>
      <bottom style="medium">
        <color rgb="FF0098A6"/>
      </bottom>
      <diagonal/>
    </border>
    <border diagonalUp="false" diagonalDown="false">
      <left/>
      <right/>
      <top/>
      <bottom style="medium">
        <color rgb="FF0098A6"/>
      </bottom>
      <diagonal/>
    </border>
    <border diagonalUp="false" diagonalDown="false">
      <left/>
      <right style="medium">
        <color rgb="FF0098A6"/>
      </right>
      <top/>
      <bottom style="medium">
        <color rgb="FF0098A6"/>
      </bottom>
      <diagonal/>
    </border>
    <border diagonalUp="false" diagonalDown="false">
      <left style="medium">
        <color rgb="FF0098A6"/>
      </left>
      <right/>
      <top style="medium">
        <color rgb="FF0098A6"/>
      </top>
      <bottom/>
      <diagonal/>
    </border>
    <border diagonalUp="false" diagonalDown="false">
      <left style="medium">
        <color rgb="FF0098A6"/>
      </left>
      <right/>
      <top/>
      <bottom/>
      <diagonal/>
    </border>
    <border diagonalUp="false" diagonalDown="false">
      <left style="thin">
        <color rgb="FFFFFFFF"/>
      </left>
      <right/>
      <top/>
      <bottom style="medium">
        <color rgb="FF0098A6"/>
      </bottom>
      <diagonal/>
    </border>
    <border diagonalUp="false" diagonalDown="false">
      <left/>
      <right style="thin">
        <color rgb="FFFFFFFF"/>
      </right>
      <top/>
      <bottom style="medium">
        <color rgb="FF0098A6"/>
      </bottom>
      <diagonal/>
    </border>
    <border diagonalUp="false" diagonalDown="false">
      <left style="thin">
        <color rgb="FFFFFFFF"/>
      </left>
      <right style="thin">
        <color rgb="FFFFFFFF"/>
      </right>
      <top/>
      <bottom style="medium">
        <color rgb="FF0098A6"/>
      </bottom>
      <diagonal/>
    </border>
    <border diagonalUp="false" diagonalDown="false">
      <left style="medium">
        <color rgb="FFC65911"/>
      </left>
      <right/>
      <top style="medium">
        <color rgb="FFC65911"/>
      </top>
      <bottom style="medium">
        <color rgb="FFC65911"/>
      </bottom>
      <diagonal/>
    </border>
    <border diagonalUp="false" diagonalDown="false">
      <left/>
      <right/>
      <top style="medium">
        <color rgb="FFC65911"/>
      </top>
      <bottom/>
      <diagonal/>
    </border>
    <border diagonalUp="false" diagonalDown="false">
      <left style="thin">
        <color rgb="FFFFFFFF"/>
      </left>
      <right/>
      <top style="medium">
        <color rgb="FFC65911"/>
      </top>
      <bottom/>
      <diagonal/>
    </border>
    <border diagonalUp="false" diagonalDown="false">
      <left/>
      <right style="thin">
        <color rgb="FFFFFFFF"/>
      </right>
      <top style="medium">
        <color rgb="FFC65911"/>
      </top>
      <bottom/>
      <diagonal/>
    </border>
    <border diagonalUp="false" diagonalDown="false">
      <left style="thin">
        <color rgb="FFFFFFFF"/>
      </left>
      <right style="thin">
        <color rgb="FFFFFFFF"/>
      </right>
      <top style="medium">
        <color rgb="FFC65911"/>
      </top>
      <bottom style="thin">
        <color rgb="FFFFFFFF"/>
      </bottom>
      <diagonal/>
    </border>
    <border diagonalUp="false" diagonalDown="false">
      <left/>
      <right style="medium">
        <color rgb="FFC65911"/>
      </right>
      <top style="medium">
        <color rgb="FFC65911"/>
      </top>
      <bottom/>
      <diagonal/>
    </border>
    <border diagonalUp="false" diagonalDown="false">
      <left style="medium">
        <color rgb="FFC65911"/>
      </left>
      <right style="medium">
        <color rgb="FFC65911"/>
      </right>
      <top style="medium">
        <color rgb="FFC65911"/>
      </top>
      <bottom/>
      <diagonal/>
    </border>
    <border diagonalUp="false" diagonalDown="false">
      <left/>
      <right style="medium">
        <color rgb="FFC65911"/>
      </right>
      <top/>
      <bottom/>
      <diagonal/>
    </border>
    <border diagonalUp="false" diagonalDown="false">
      <left style="medium">
        <color rgb="FFC65911"/>
      </left>
      <right/>
      <top/>
      <bottom/>
      <diagonal/>
    </border>
    <border diagonalUp="false" diagonalDown="false">
      <left style="medium">
        <color rgb="FFC65911"/>
      </left>
      <right/>
      <top style="medium">
        <color rgb="FFC65911"/>
      </top>
      <bottom/>
      <diagonal/>
    </border>
    <border diagonalUp="false" diagonalDown="false">
      <left/>
      <right/>
      <top/>
      <bottom style="medium">
        <color rgb="FFC65911"/>
      </bottom>
      <diagonal/>
    </border>
    <border diagonalUp="false" diagonalDown="false">
      <left style="thin">
        <color rgb="FFFFFFFF"/>
      </left>
      <right/>
      <top/>
      <bottom style="medium">
        <color rgb="FFC65911"/>
      </bottom>
      <diagonal/>
    </border>
    <border diagonalUp="false" diagonalDown="false">
      <left/>
      <right style="thin">
        <color rgb="FFFFFFFF"/>
      </right>
      <top/>
      <bottom style="medium">
        <color rgb="FFC65911"/>
      </bottom>
      <diagonal/>
    </border>
    <border diagonalUp="false" diagonalDown="false">
      <left style="thin">
        <color rgb="FFFFFFFF"/>
      </left>
      <right style="thin">
        <color rgb="FFFFFFFF"/>
      </right>
      <top/>
      <bottom style="medium">
        <color rgb="FFC65911"/>
      </bottom>
      <diagonal/>
    </border>
    <border diagonalUp="false" diagonalDown="false">
      <left/>
      <right style="medium">
        <color rgb="FFC65911"/>
      </right>
      <top/>
      <bottom style="medium">
        <color rgb="FFC65911"/>
      </bottom>
      <diagonal/>
    </border>
    <border diagonalUp="false" diagonalDown="false">
      <left style="medium">
        <color rgb="FFC65911"/>
      </left>
      <right/>
      <top/>
      <bottom style="medium">
        <color rgb="FFC65911"/>
      </bottom>
      <diagonal/>
    </border>
    <border diagonalUp="false" diagonalDown="false">
      <left style="medium">
        <color rgb="FF963633"/>
      </left>
      <right/>
      <top style="medium">
        <color rgb="FF963633"/>
      </top>
      <bottom style="medium">
        <color rgb="FF963633"/>
      </bottom>
      <diagonal/>
    </border>
    <border diagonalUp="false" diagonalDown="false">
      <left/>
      <right/>
      <top style="medium">
        <color rgb="FF963633"/>
      </top>
      <bottom/>
      <diagonal/>
    </border>
    <border diagonalUp="false" diagonalDown="false">
      <left style="thin">
        <color rgb="FFFFFFFF"/>
      </left>
      <right/>
      <top style="medium">
        <color rgb="FF963633"/>
      </top>
      <bottom/>
      <diagonal/>
    </border>
    <border diagonalUp="false" diagonalDown="false">
      <left/>
      <right style="thin">
        <color rgb="FFFFFFFF"/>
      </right>
      <top style="medium">
        <color rgb="FF963633"/>
      </top>
      <bottom/>
      <diagonal/>
    </border>
    <border diagonalUp="false" diagonalDown="false">
      <left style="thin">
        <color rgb="FFFFFFFF"/>
      </left>
      <right style="thin">
        <color rgb="FFFFFFFF"/>
      </right>
      <top style="medium">
        <color rgb="FF963633"/>
      </top>
      <bottom style="thin">
        <color rgb="FFFFFFFF"/>
      </bottom>
      <diagonal/>
    </border>
    <border diagonalUp="false" diagonalDown="false">
      <left/>
      <right style="medium">
        <color rgb="FF963633"/>
      </right>
      <top style="medium">
        <color rgb="FF963633"/>
      </top>
      <bottom/>
      <diagonal/>
    </border>
    <border diagonalUp="false" diagonalDown="false">
      <left style="medium">
        <color rgb="FF963633"/>
      </left>
      <right style="medium">
        <color rgb="FF963633"/>
      </right>
      <top style="medium">
        <color rgb="FF963633"/>
      </top>
      <bottom/>
      <diagonal/>
    </border>
    <border diagonalUp="false" diagonalDown="false">
      <left/>
      <right style="medium">
        <color rgb="FF963633"/>
      </right>
      <top/>
      <bottom/>
      <diagonal/>
    </border>
    <border diagonalUp="false" diagonalDown="false">
      <left style="medium">
        <color rgb="FF963633"/>
      </left>
      <right/>
      <top/>
      <bottom/>
      <diagonal/>
    </border>
    <border diagonalUp="false" diagonalDown="false">
      <left style="medium">
        <color rgb="FF963633"/>
      </left>
      <right/>
      <top style="medium">
        <color rgb="FF963633"/>
      </top>
      <bottom/>
      <diagonal/>
    </border>
    <border diagonalUp="false" diagonalDown="false">
      <left/>
      <right/>
      <top/>
      <bottom style="medium">
        <color rgb="FF963633"/>
      </bottom>
      <diagonal/>
    </border>
    <border diagonalUp="false" diagonalDown="false">
      <left style="thin">
        <color rgb="FFFFFFFF"/>
      </left>
      <right/>
      <top/>
      <bottom style="medium">
        <color rgb="FF963633"/>
      </bottom>
      <diagonal/>
    </border>
    <border diagonalUp="false" diagonalDown="false">
      <left/>
      <right style="thin">
        <color rgb="FFFFFFFF"/>
      </right>
      <top/>
      <bottom style="medium">
        <color rgb="FF963633"/>
      </bottom>
      <diagonal/>
    </border>
    <border diagonalUp="false" diagonalDown="false">
      <left style="thin">
        <color rgb="FFFFFFFF"/>
      </left>
      <right style="thin">
        <color rgb="FFFFFFFF"/>
      </right>
      <top/>
      <bottom style="medium">
        <color rgb="FF963633"/>
      </bottom>
      <diagonal/>
    </border>
    <border diagonalUp="false" diagonalDown="false">
      <left/>
      <right style="medium">
        <color rgb="FF963633"/>
      </right>
      <top/>
      <bottom style="medium">
        <color rgb="FF963633"/>
      </bottom>
      <diagonal/>
    </border>
    <border diagonalUp="false" diagonalDown="false">
      <left style="medium">
        <color rgb="FF963633"/>
      </left>
      <right/>
      <top/>
      <bottom style="medium">
        <color rgb="FF963633"/>
      </bottom>
      <diagonal/>
    </border>
    <border diagonalUp="false" diagonalDown="false">
      <left style="medium">
        <color rgb="FF7B7B7B"/>
      </left>
      <right/>
      <top style="medium">
        <color rgb="FF7B7B7B"/>
      </top>
      <bottom style="medium">
        <color rgb="FF7B7B7B"/>
      </bottom>
      <diagonal/>
    </border>
    <border diagonalUp="false" diagonalDown="false">
      <left/>
      <right/>
      <top style="medium">
        <color rgb="FF7B7B7B"/>
      </top>
      <bottom/>
      <diagonal/>
    </border>
    <border diagonalUp="false" diagonalDown="false">
      <left style="thin">
        <color rgb="FFFFFFFF"/>
      </left>
      <right/>
      <top style="medium">
        <color rgb="FF7B7B7B"/>
      </top>
      <bottom/>
      <diagonal/>
    </border>
    <border diagonalUp="false" diagonalDown="false">
      <left/>
      <right style="thin">
        <color rgb="FFFFFFFF"/>
      </right>
      <top style="medium">
        <color rgb="FF7B7B7B"/>
      </top>
      <bottom/>
      <diagonal/>
    </border>
    <border diagonalUp="false" diagonalDown="false">
      <left style="thin">
        <color rgb="FFFFFFFF"/>
      </left>
      <right style="thin">
        <color rgb="FFFFFFFF"/>
      </right>
      <top style="medium">
        <color rgb="FF7B7B7B"/>
      </top>
      <bottom style="thin">
        <color rgb="FFFFFFFF"/>
      </bottom>
      <diagonal/>
    </border>
    <border diagonalUp="false" diagonalDown="false">
      <left/>
      <right style="medium">
        <color rgb="FF7B7B7B"/>
      </right>
      <top style="medium">
        <color rgb="FF7B7B7B"/>
      </top>
      <bottom/>
      <diagonal/>
    </border>
    <border diagonalUp="false" diagonalDown="false">
      <left style="medium">
        <color rgb="FF7B7B7B"/>
      </left>
      <right style="medium">
        <color rgb="FF7B7B7B"/>
      </right>
      <top style="medium">
        <color rgb="FF7B7B7B"/>
      </top>
      <bottom/>
      <diagonal/>
    </border>
    <border diagonalUp="false" diagonalDown="false">
      <left/>
      <right style="medium">
        <color rgb="FF7B7B7B"/>
      </right>
      <top/>
      <bottom/>
      <diagonal/>
    </border>
    <border diagonalUp="false" diagonalDown="false">
      <left style="medium">
        <color rgb="FF7B7B7B"/>
      </left>
      <right/>
      <top/>
      <bottom style="medium">
        <color rgb="FF7B7B7B"/>
      </bottom>
      <diagonal/>
    </border>
    <border diagonalUp="false" diagonalDown="false">
      <left/>
      <right/>
      <top/>
      <bottom style="medium">
        <color rgb="FF7B7B7B"/>
      </bottom>
      <diagonal/>
    </border>
    <border diagonalUp="false" diagonalDown="false">
      <left/>
      <right style="medium">
        <color rgb="FF7B7B7B"/>
      </right>
      <top/>
      <bottom style="medium">
        <color rgb="FF7B7B7B"/>
      </bottom>
      <diagonal/>
    </border>
    <border diagonalUp="false" diagonalDown="false">
      <left style="medium">
        <color rgb="FF7B7B7B"/>
      </left>
      <right/>
      <top style="medium">
        <color rgb="FF7B7B7B"/>
      </top>
      <bottom/>
      <diagonal/>
    </border>
    <border diagonalUp="false" diagonalDown="false">
      <left style="medium">
        <color rgb="FF7B7B7B"/>
      </left>
      <right/>
      <top/>
      <bottom/>
      <diagonal/>
    </border>
    <border diagonalUp="false" diagonalDown="false">
      <left style="thin">
        <color rgb="FFFFFFFF"/>
      </left>
      <right/>
      <top/>
      <bottom style="medium">
        <color rgb="FF7B7B7B"/>
      </bottom>
      <diagonal/>
    </border>
    <border diagonalUp="false" diagonalDown="false">
      <left/>
      <right style="thin">
        <color rgb="FFFFFFFF"/>
      </right>
      <top/>
      <bottom style="medium">
        <color rgb="FF7B7B7B"/>
      </bottom>
      <diagonal/>
    </border>
    <border diagonalUp="false" diagonalDown="false">
      <left style="thin">
        <color rgb="FFFFFFFF"/>
      </left>
      <right style="thin">
        <color rgb="FFFFFFFF"/>
      </right>
      <top/>
      <bottom style="medium">
        <color rgb="FF7B7B7B"/>
      </bottom>
      <diagonal/>
    </border>
    <border diagonalUp="false" diagonalDown="false">
      <left style="medium">
        <color rgb="FF1F4E78"/>
      </left>
      <right/>
      <top style="medium">
        <color rgb="FF1F4E78"/>
      </top>
      <bottom style="medium">
        <color rgb="FF1F4E78"/>
      </bottom>
      <diagonal/>
    </border>
    <border diagonalUp="false" diagonalDown="false">
      <left/>
      <right/>
      <top style="medium">
        <color rgb="FF1F4E78"/>
      </top>
      <bottom/>
      <diagonal/>
    </border>
    <border diagonalUp="false" diagonalDown="false">
      <left style="thin">
        <color rgb="FFFFFFFF"/>
      </left>
      <right/>
      <top style="medium">
        <color rgb="FF1F4E78"/>
      </top>
      <bottom/>
      <diagonal/>
    </border>
    <border diagonalUp="false" diagonalDown="false">
      <left/>
      <right style="thin">
        <color rgb="FFFFFFFF"/>
      </right>
      <top style="medium">
        <color rgb="FF1F4E78"/>
      </top>
      <bottom/>
      <diagonal/>
    </border>
    <border diagonalUp="false" diagonalDown="false">
      <left style="thin">
        <color rgb="FFFFFFFF"/>
      </left>
      <right style="thin">
        <color rgb="FFFFFFFF"/>
      </right>
      <top style="medium">
        <color rgb="FF1F4E78"/>
      </top>
      <bottom style="thin">
        <color rgb="FFFFFFFF"/>
      </bottom>
      <diagonal/>
    </border>
    <border diagonalUp="false" diagonalDown="false">
      <left/>
      <right style="medium">
        <color rgb="FF1F4E78"/>
      </right>
      <top style="medium">
        <color rgb="FF1F4E78"/>
      </top>
      <bottom/>
      <diagonal/>
    </border>
    <border diagonalUp="false" diagonalDown="false">
      <left style="medium">
        <color rgb="FF1F4E78"/>
      </left>
      <right style="medium">
        <color rgb="FF1F4E78"/>
      </right>
      <top style="medium">
        <color rgb="FF1F4E78"/>
      </top>
      <bottom/>
      <diagonal/>
    </border>
    <border diagonalUp="false" diagonalDown="false">
      <left/>
      <right style="medium">
        <color rgb="FF1F4E78"/>
      </right>
      <top/>
      <bottom/>
      <diagonal/>
    </border>
    <border diagonalUp="false" diagonalDown="false">
      <left style="medium">
        <color rgb="FF1F4E78"/>
      </left>
      <right/>
      <top/>
      <bottom style="medium">
        <color rgb="FF1F4E78"/>
      </bottom>
      <diagonal/>
    </border>
    <border diagonalUp="false" diagonalDown="false">
      <left/>
      <right/>
      <top/>
      <bottom style="medium">
        <color rgb="FF1F4E78"/>
      </bottom>
      <diagonal/>
    </border>
    <border diagonalUp="false" diagonalDown="false">
      <left/>
      <right style="medium">
        <color rgb="FF1F4E78"/>
      </right>
      <top/>
      <bottom style="medium">
        <color rgb="FF1F4E78"/>
      </bottom>
      <diagonal/>
    </border>
    <border diagonalUp="false" diagonalDown="false">
      <left style="medium">
        <color rgb="FF1F4E78"/>
      </left>
      <right/>
      <top style="medium">
        <color rgb="FF1F4E78"/>
      </top>
      <bottom/>
      <diagonal/>
    </border>
    <border diagonalUp="false" diagonalDown="false">
      <left style="medium">
        <color rgb="FF1F4E78"/>
      </left>
      <right/>
      <top/>
      <bottom/>
      <diagonal/>
    </border>
    <border diagonalUp="false" diagonalDown="false">
      <left style="thin">
        <color rgb="FFFFFFFF"/>
      </left>
      <right/>
      <top/>
      <bottom style="medium">
        <color rgb="FF1F4E78"/>
      </bottom>
      <diagonal/>
    </border>
    <border diagonalUp="false" diagonalDown="false">
      <left/>
      <right style="thin">
        <color rgb="FFFFFFFF"/>
      </right>
      <top/>
      <bottom style="medium">
        <color rgb="FF1F4E78"/>
      </bottom>
      <diagonal/>
    </border>
    <border diagonalUp="false" diagonalDown="false">
      <left style="thin">
        <color rgb="FFFFFFFF"/>
      </left>
      <right style="thin">
        <color rgb="FFFFFFFF"/>
      </right>
      <top/>
      <bottom style="medium">
        <color rgb="FF1F4E78"/>
      </bottom>
      <diagonal/>
    </border>
    <border diagonalUp="false" diagonalDown="false">
      <left style="medium">
        <color rgb="FF4F81BD"/>
      </left>
      <right/>
      <top style="medium">
        <color rgb="FF4F81BD"/>
      </top>
      <bottom style="medium">
        <color rgb="FF4F81BD"/>
      </bottom>
      <diagonal/>
    </border>
    <border diagonalUp="false" diagonalDown="false">
      <left/>
      <right/>
      <top style="medium">
        <color rgb="FF4F81BD"/>
      </top>
      <bottom/>
      <diagonal/>
    </border>
    <border diagonalUp="false" diagonalDown="false">
      <left style="thin">
        <color rgb="FFFFFFFF"/>
      </left>
      <right/>
      <top style="medium">
        <color rgb="FF4F81BD"/>
      </top>
      <bottom/>
      <diagonal/>
    </border>
    <border diagonalUp="false" diagonalDown="false">
      <left/>
      <right style="thin">
        <color rgb="FFFFFFFF"/>
      </right>
      <top style="medium">
        <color rgb="FF4F81BD"/>
      </top>
      <bottom/>
      <diagonal/>
    </border>
    <border diagonalUp="false" diagonalDown="false">
      <left style="thin">
        <color rgb="FFFFFFFF"/>
      </left>
      <right style="thin">
        <color rgb="FFFFFFFF"/>
      </right>
      <top style="medium">
        <color rgb="FF4F81BD"/>
      </top>
      <bottom style="thin">
        <color rgb="FFFFFFFF"/>
      </bottom>
      <diagonal/>
    </border>
    <border diagonalUp="false" diagonalDown="false">
      <left/>
      <right style="medium">
        <color rgb="FF4F81BD"/>
      </right>
      <top style="medium">
        <color rgb="FF4F81BD"/>
      </top>
      <bottom/>
      <diagonal/>
    </border>
    <border diagonalUp="false" diagonalDown="false">
      <left style="medium">
        <color rgb="FF4F81BD"/>
      </left>
      <right style="medium">
        <color rgb="FF4F81BD"/>
      </right>
      <top style="medium">
        <color rgb="FF4F81BD"/>
      </top>
      <bottom/>
      <diagonal/>
    </border>
    <border diagonalUp="false" diagonalDown="false">
      <left/>
      <right style="medium">
        <color rgb="FF4F81BD"/>
      </right>
      <top/>
      <bottom/>
      <diagonal/>
    </border>
    <border diagonalUp="false" diagonalDown="false">
      <left style="medium">
        <color rgb="FF4F81BD"/>
      </left>
      <right/>
      <top/>
      <bottom style="medium">
        <color rgb="FF4F81BD"/>
      </bottom>
      <diagonal/>
    </border>
    <border diagonalUp="false" diagonalDown="false">
      <left/>
      <right/>
      <top/>
      <bottom style="medium">
        <color rgb="FF4F81BD"/>
      </bottom>
      <diagonal/>
    </border>
    <border diagonalUp="false" diagonalDown="false">
      <left/>
      <right style="medium">
        <color rgb="FF4F81BD"/>
      </right>
      <top/>
      <bottom style="medium">
        <color rgb="FF4F81BD"/>
      </bottom>
      <diagonal/>
    </border>
    <border diagonalUp="false" diagonalDown="false">
      <left style="medium">
        <color rgb="FF4F81BD"/>
      </left>
      <right/>
      <top style="medium">
        <color rgb="FF4F81BD"/>
      </top>
      <bottom/>
      <diagonal/>
    </border>
    <border diagonalUp="false" diagonalDown="false">
      <left style="medium">
        <color rgb="FF4F81BD"/>
      </left>
      <right/>
      <top/>
      <bottom/>
      <diagonal/>
    </border>
    <border diagonalUp="false" diagonalDown="false">
      <left style="thin">
        <color rgb="FFFFFFFF"/>
      </left>
      <right/>
      <top/>
      <bottom style="medium">
        <color rgb="FF4F81BD"/>
      </bottom>
      <diagonal/>
    </border>
    <border diagonalUp="false" diagonalDown="false">
      <left/>
      <right style="thin">
        <color rgb="FFFFFFFF"/>
      </right>
      <top/>
      <bottom style="medium">
        <color rgb="FF4F81BD"/>
      </bottom>
      <diagonal/>
    </border>
    <border diagonalUp="false" diagonalDown="false">
      <left style="thin">
        <color rgb="FFFFFFFF"/>
      </left>
      <right style="thin">
        <color rgb="FFFFFFFF"/>
      </right>
      <top/>
      <bottom style="medium">
        <color rgb="FF4F81BD"/>
      </bottom>
      <diagonal/>
    </border>
    <border diagonalUp="false" diagonalDown="false">
      <left style="medium">
        <color rgb="FF7E3680"/>
      </left>
      <right/>
      <top style="medium">
        <color rgb="FF7E3680"/>
      </top>
      <bottom style="medium">
        <color rgb="FF7E3680"/>
      </bottom>
      <diagonal/>
    </border>
    <border diagonalUp="false" diagonalDown="false">
      <left/>
      <right/>
      <top style="medium">
        <color rgb="FF7E3680"/>
      </top>
      <bottom/>
      <diagonal/>
    </border>
    <border diagonalUp="false" diagonalDown="false">
      <left/>
      <right style="thin">
        <color rgb="FFFFFFFF"/>
      </right>
      <top style="medium">
        <color rgb="FF7E3680"/>
      </top>
      <bottom/>
      <diagonal/>
    </border>
    <border diagonalUp="false" diagonalDown="false">
      <left style="thin">
        <color rgb="FFFFFFFF"/>
      </left>
      <right/>
      <top style="medium">
        <color rgb="FF7E3680"/>
      </top>
      <bottom/>
      <diagonal/>
    </border>
    <border diagonalUp="false" diagonalDown="false">
      <left style="thin">
        <color rgb="FFFFFFFF"/>
      </left>
      <right style="thin">
        <color rgb="FFFFFFFF"/>
      </right>
      <top style="medium">
        <color rgb="FF7E3680"/>
      </top>
      <bottom style="thin">
        <color rgb="FFFFFFFF"/>
      </bottom>
      <diagonal/>
    </border>
    <border diagonalUp="false" diagonalDown="false">
      <left/>
      <right style="medium">
        <color rgb="FF7E3680"/>
      </right>
      <top style="medium">
        <color rgb="FF7E3680"/>
      </top>
      <bottom/>
      <diagonal/>
    </border>
    <border diagonalUp="false" diagonalDown="false">
      <left style="thin">
        <color rgb="FFFFFFFF"/>
      </left>
      <right style="thin">
        <color rgb="FFFFFFFF"/>
      </right>
      <top style="thin">
        <color rgb="FFFFFFFF"/>
      </top>
      <bottom/>
      <diagonal/>
    </border>
    <border diagonalUp="false" diagonalDown="false">
      <left/>
      <right style="medium">
        <color rgb="FF7E3680"/>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right/>
      <top/>
      <bottom style="medium">
        <color rgb="FF7E3680"/>
      </bottom>
      <diagonal/>
    </border>
    <border diagonalUp="false" diagonalDown="false">
      <left/>
      <right style="thin">
        <color rgb="FFFFFFFF"/>
      </right>
      <top/>
      <bottom style="medium">
        <color rgb="FF7E3680"/>
      </bottom>
      <diagonal/>
    </border>
    <border diagonalUp="false" diagonalDown="false">
      <left style="thin">
        <color rgb="FFFFFFFF"/>
      </left>
      <right/>
      <top/>
      <bottom style="medium">
        <color rgb="FF7E3680"/>
      </bottom>
      <diagonal/>
    </border>
    <border diagonalUp="false" diagonalDown="false">
      <left style="thin">
        <color rgb="FFFFFFFF"/>
      </left>
      <right style="thin">
        <color rgb="FFFFFFFF"/>
      </right>
      <top style="thin">
        <color rgb="FFFFFFFF"/>
      </top>
      <bottom style="medium">
        <color rgb="FF7E3680"/>
      </bottom>
      <diagonal/>
    </border>
    <border diagonalUp="false" diagonalDown="false">
      <left/>
      <right style="medium">
        <color rgb="FF7E3680"/>
      </right>
      <top/>
      <bottom style="medium">
        <color rgb="FF7E3680"/>
      </bottom>
      <diagonal/>
    </border>
    <border diagonalUp="false" diagonalDown="false">
      <left style="medium">
        <color rgb="FFB37836"/>
      </left>
      <right/>
      <top style="medium">
        <color rgb="FFB37836"/>
      </top>
      <bottom style="medium">
        <color rgb="FFB37836"/>
      </bottom>
      <diagonal/>
    </border>
    <border diagonalUp="false" diagonalDown="false">
      <left/>
      <right/>
      <top style="medium">
        <color rgb="FFB37836"/>
      </top>
      <bottom style="medium">
        <color rgb="FFB37836"/>
      </bottom>
      <diagonal/>
    </border>
    <border diagonalUp="false" diagonalDown="false">
      <left style="thin">
        <color rgb="FFFFFFFF"/>
      </left>
      <right/>
      <top style="medium">
        <color rgb="FFB37836"/>
      </top>
      <bottom style="medium">
        <color rgb="FFB37836"/>
      </bottom>
      <diagonal/>
    </border>
    <border diagonalUp="false" diagonalDown="false">
      <left style="thin">
        <color rgb="FFFFFFFF"/>
      </left>
      <right style="thin">
        <color rgb="FFFFFFFF"/>
      </right>
      <top style="medium">
        <color rgb="FFB37836"/>
      </top>
      <bottom style="medium">
        <color rgb="FFB37836"/>
      </bottom>
      <diagonal/>
    </border>
    <border diagonalUp="false" diagonalDown="false">
      <left/>
      <right style="medium">
        <color rgb="FFB37836"/>
      </right>
      <top style="medium">
        <color rgb="FFB37836"/>
      </top>
      <bottom style="medium">
        <color rgb="FFB37836"/>
      </bottom>
      <diagonal/>
    </border>
    <border diagonalUp="false" diagonalDown="false">
      <left style="medium">
        <color rgb="FFFFBE56"/>
      </left>
      <right/>
      <top style="medium">
        <color rgb="FFFFBE56"/>
      </top>
      <bottom/>
      <diagonal/>
    </border>
    <border diagonalUp="false" diagonalDown="false">
      <left/>
      <right/>
      <top style="medium">
        <color rgb="FFFFBE56"/>
      </top>
      <bottom/>
      <diagonal/>
    </border>
    <border diagonalUp="false" diagonalDown="false">
      <left/>
      <right style="thin">
        <color rgb="FFFFFFFF"/>
      </right>
      <top style="medium">
        <color rgb="FFFFBE56"/>
      </top>
      <bottom/>
      <diagonal/>
    </border>
    <border diagonalUp="false" diagonalDown="false">
      <left style="thin">
        <color rgb="FFFFFFFF"/>
      </left>
      <right style="medium">
        <color rgb="FFFFBE56"/>
      </right>
      <top style="medium">
        <color rgb="FFFFBE56"/>
      </top>
      <bottom/>
      <diagonal/>
    </border>
    <border diagonalUp="false" diagonalDown="false">
      <left style="medium">
        <color rgb="FFFFFFFF"/>
      </left>
      <right style="medium">
        <color rgb="FFFFFFFF"/>
      </right>
      <top style="medium">
        <color rgb="FFFFFFFF"/>
      </top>
      <bottom/>
      <diagonal/>
    </border>
    <border diagonalUp="false" diagonalDown="false">
      <left style="medium">
        <color rgb="FFFFBE56"/>
      </left>
      <right/>
      <top/>
      <bottom/>
      <diagonal/>
    </border>
    <border diagonalUp="false" diagonalDown="false">
      <left style="thin">
        <color rgb="FFFFFFFF"/>
      </left>
      <right style="medium">
        <color rgb="FFFFBE56"/>
      </right>
      <top/>
      <bottom/>
      <diagonal/>
    </border>
    <border diagonalUp="false" diagonalDown="false">
      <left style="medium">
        <color rgb="FFFFBE56"/>
      </left>
      <right/>
      <top/>
      <bottom style="medium">
        <color rgb="FFFFBE56"/>
      </bottom>
      <diagonal/>
    </border>
    <border diagonalUp="false" diagonalDown="false">
      <left/>
      <right/>
      <top/>
      <bottom style="medium">
        <color rgb="FFFFBE56"/>
      </bottom>
      <diagonal/>
    </border>
    <border diagonalUp="false" diagonalDown="false">
      <left/>
      <right style="thin">
        <color rgb="FFFFFFFF"/>
      </right>
      <top/>
      <bottom style="medium">
        <color rgb="FFFFBE56"/>
      </bottom>
      <diagonal/>
    </border>
    <border diagonalUp="false" diagonalDown="false">
      <left style="thin">
        <color rgb="FFFFFFFF"/>
      </left>
      <right style="medium">
        <color rgb="FFFFBE56"/>
      </right>
      <top/>
      <bottom style="medium">
        <color rgb="FFFFBE56"/>
      </bottom>
      <diagonal/>
    </border>
    <border diagonalUp="false" diagonalDown="false">
      <left style="medium">
        <color rgb="FFFFFFFF"/>
      </left>
      <right style="medium">
        <color rgb="FFFFFFFF"/>
      </right>
      <top/>
      <bottom style="medium">
        <color rgb="FFFFFFFF"/>
      </bottom>
      <diagonal/>
    </border>
    <border diagonalUp="false" diagonalDown="false">
      <left style="medium">
        <color rgb="FFA50004"/>
      </left>
      <right/>
      <top style="medium">
        <color rgb="FFA50004"/>
      </top>
      <bottom style="medium">
        <color rgb="FFA50004"/>
      </bottom>
      <diagonal/>
    </border>
    <border diagonalUp="false" diagonalDown="false">
      <left/>
      <right/>
      <top style="medium">
        <color rgb="FFA50004"/>
      </top>
      <bottom style="medium">
        <color rgb="FFA50004"/>
      </bottom>
      <diagonal/>
    </border>
    <border diagonalUp="false" diagonalDown="false">
      <left/>
      <right style="thin">
        <color rgb="FFFFFFFF"/>
      </right>
      <top style="medium">
        <color rgb="FFA50004"/>
      </top>
      <bottom style="medium">
        <color rgb="FFA50004"/>
      </bottom>
      <diagonal/>
    </border>
    <border diagonalUp="false" diagonalDown="false">
      <left style="thin">
        <color rgb="FFFFFFFF"/>
      </left>
      <right style="medium">
        <color rgb="FFA50004"/>
      </right>
      <top style="medium">
        <color rgb="FFA50004"/>
      </top>
      <bottom style="medium">
        <color rgb="FFA50004"/>
      </bottom>
      <diagonal/>
    </border>
    <border diagonalUp="false" diagonalDown="false">
      <left style="medium"/>
      <right style="medium"/>
      <top style="medium"/>
      <bottom style="medium"/>
      <diagonal/>
    </border>
    <border diagonalUp="false" diagonalDown="false">
      <left/>
      <right/>
      <top style="thin">
        <color rgb="FFFFFFFF"/>
      </top>
      <bottom/>
      <diagonal/>
    </border>
    <border diagonalUp="false" diagonalDown="false">
      <left style="thin">
        <color rgb="FFFFFFFF"/>
      </left>
      <right style="thin">
        <color rgb="FFFFFFFF"/>
      </right>
      <top/>
      <bottom/>
      <diagonal/>
    </border>
    <border diagonalUp="false" diagonalDown="false">
      <left/>
      <right/>
      <top style="thin">
        <color rgb="FFFFFFFF"/>
      </top>
      <bottom style="thin">
        <color rgb="FFFFFFFF"/>
      </bottom>
      <diagonal/>
    </border>
    <border diagonalUp="false" diagonalDown="false">
      <left style="thin">
        <color rgb="FFFFFFFF"/>
      </left>
      <right/>
      <top style="thin">
        <color rgb="FFFFFFFF"/>
      </top>
      <bottom/>
      <diagonal/>
    </border>
    <border diagonalUp="false" diagonalDown="false">
      <left/>
      <right style="thin">
        <color rgb="FFFFFFFF"/>
      </right>
      <top style="thin">
        <color rgb="FFFFFFFF"/>
      </top>
      <bottom/>
      <diagonal/>
    </border>
    <border diagonalUp="false" diagonalDown="false">
      <left/>
      <right style="thin">
        <color rgb="FFFFFFFF"/>
      </right>
      <top/>
      <bottom style="thin">
        <color rgb="FFFFFFFF"/>
      </bottom>
      <diagonal/>
    </border>
    <border diagonalUp="false" diagonalDown="false">
      <left/>
      <right/>
      <top/>
      <bottom style="thin">
        <color rgb="FFC4BD97"/>
      </bottom>
      <diagonal/>
    </border>
    <border diagonalUp="false" diagonalDown="false">
      <left/>
      <right/>
      <top style="thin">
        <color rgb="FFC4BD97"/>
      </top>
      <bottom/>
      <diagonal/>
    </border>
    <border diagonalUp="false" diagonalDown="false">
      <left/>
      <right style="thin">
        <color rgb="FFC4BD97"/>
      </right>
      <top/>
      <bottom style="thin">
        <color rgb="FFC4BD97"/>
      </bottom>
      <diagonal/>
    </border>
    <border diagonalUp="false" diagonalDown="true">
      <left/>
      <right/>
      <top/>
      <bottom/>
      <diagonal style="thin">
        <color rgb="FFC4BD97"/>
      </diagonal>
    </border>
    <border diagonalUp="false" diagonalDown="false">
      <left/>
      <right style="thin">
        <color rgb="FFC4BD97"/>
      </right>
      <top/>
      <bottom/>
      <diagonal/>
    </border>
    <border diagonalUp="false" diagonalDown="false">
      <left style="thin">
        <color rgb="FFFFFFFF"/>
      </left>
      <right/>
      <top/>
      <bottom style="thin">
        <color rgb="FFFFFFFF"/>
      </bottom>
      <diagonal/>
    </border>
    <border diagonalUp="false" diagonalDown="false">
      <left/>
      <right/>
      <top/>
      <bottom style="thin">
        <color rgb="FFFFFFFF"/>
      </bottom>
      <diagonal/>
    </border>
    <border diagonalUp="false" diagonalDown="false">
      <left/>
      <right/>
      <top/>
      <bottom style="medium">
        <color rgb="FF01A439"/>
      </bottom>
      <diagonal/>
    </border>
    <border diagonalUp="false" diagonalDown="false">
      <left/>
      <right style="medium">
        <color rgb="FF01A439"/>
      </right>
      <top/>
      <bottom/>
      <diagonal/>
    </border>
    <border diagonalUp="false" diagonalDown="false">
      <left style="medium">
        <color rgb="FF01A439"/>
      </left>
      <right style="thin">
        <color rgb="FF01A439"/>
      </right>
      <top style="medium">
        <color rgb="FF01A439"/>
      </top>
      <bottom style="thin">
        <color rgb="FF01A439"/>
      </bottom>
      <diagonal/>
    </border>
    <border diagonalUp="false" diagonalDown="false">
      <left style="thin">
        <color rgb="FF01A439"/>
      </left>
      <right style="thin">
        <color rgb="FF01A439"/>
      </right>
      <top style="medium">
        <color rgb="FF01A439"/>
      </top>
      <bottom style="thin">
        <color rgb="FF01A439"/>
      </bottom>
      <diagonal/>
    </border>
    <border diagonalUp="false" diagonalDown="false">
      <left/>
      <right/>
      <top style="medium">
        <color rgb="FF01A439"/>
      </top>
      <bottom/>
      <diagonal/>
    </border>
    <border diagonalUp="false" diagonalDown="false">
      <left style="thin">
        <color rgb="FF01A439"/>
      </left>
      <right style="medium">
        <color rgb="FF01A439"/>
      </right>
      <top style="medium">
        <color rgb="FF01A439"/>
      </top>
      <bottom style="thin">
        <color rgb="FF01A439"/>
      </bottom>
      <diagonal/>
    </border>
    <border diagonalUp="false" diagonalDown="false">
      <left style="medium">
        <color rgb="FFAB402E"/>
      </left>
      <right style="medium">
        <color rgb="FFAB402E"/>
      </right>
      <top style="medium">
        <color rgb="FFAB402E"/>
      </top>
      <bottom/>
      <diagonal/>
    </border>
    <border diagonalUp="false" diagonalDown="false">
      <left style="medium">
        <color rgb="FFAB402E"/>
      </left>
      <right style="thin">
        <color rgb="FFAB402E"/>
      </right>
      <top style="medium">
        <color rgb="FFAB402E"/>
      </top>
      <bottom style="thin">
        <color rgb="FFAB402E"/>
      </bottom>
      <diagonal/>
    </border>
    <border diagonalUp="false" diagonalDown="false">
      <left style="thin">
        <color rgb="FFAB402E"/>
      </left>
      <right style="thin">
        <color rgb="FFAB402E"/>
      </right>
      <top style="medium">
        <color rgb="FFAB402E"/>
      </top>
      <bottom style="thin">
        <color rgb="FFAB402E"/>
      </bottom>
      <diagonal/>
    </border>
    <border diagonalUp="false" diagonalDown="false">
      <left style="thin">
        <color rgb="FFAB402E"/>
      </left>
      <right style="thin">
        <color rgb="FFAB402E"/>
      </right>
      <top style="medium">
        <color rgb="FFAB402E"/>
      </top>
      <bottom/>
      <diagonal/>
    </border>
    <border diagonalUp="false" diagonalDown="false">
      <left/>
      <right style="medium">
        <color rgb="FFAB402E"/>
      </right>
      <top style="medium">
        <color rgb="FFAB402E"/>
      </top>
      <bottom style="thin">
        <color rgb="FFAB402E"/>
      </bottom>
      <diagonal/>
    </border>
    <border diagonalUp="false" diagonalDown="false">
      <left style="medium">
        <color rgb="FF01A439"/>
      </left>
      <right style="thin">
        <color rgb="FF01A439"/>
      </right>
      <top style="thin">
        <color rgb="FF01A439"/>
      </top>
      <bottom style="thin">
        <color rgb="FF01A439"/>
      </bottom>
      <diagonal/>
    </border>
    <border diagonalUp="false" diagonalDown="false">
      <left style="thin">
        <color rgb="FF01A439"/>
      </left>
      <right style="thin">
        <color rgb="FF01A439"/>
      </right>
      <top style="thin">
        <color rgb="FF01A439"/>
      </top>
      <bottom style="thin">
        <color rgb="FF01A439"/>
      </bottom>
      <diagonal/>
    </border>
    <border diagonalUp="false" diagonalDown="false">
      <left style="thin">
        <color rgb="FF01A439"/>
      </left>
      <right style="medium">
        <color rgb="FF01A439"/>
      </right>
      <top style="thin">
        <color rgb="FF01A439"/>
      </top>
      <bottom style="thin">
        <color rgb="FF01A439"/>
      </bottom>
      <diagonal/>
    </border>
    <border diagonalUp="false" diagonalDown="false">
      <left style="medium">
        <color rgb="FFAB402E"/>
      </left>
      <right style="medium">
        <color rgb="FFAB402E"/>
      </right>
      <top/>
      <bottom/>
      <diagonal/>
    </border>
    <border diagonalUp="false" diagonalDown="false">
      <left style="medium">
        <color rgb="FFAB402E"/>
      </left>
      <right style="thin">
        <color rgb="FFAB402E"/>
      </right>
      <top/>
      <bottom style="thin">
        <color rgb="FF4F81BD"/>
      </bottom>
      <diagonal/>
    </border>
    <border diagonalUp="false" diagonalDown="false">
      <left style="thin">
        <color rgb="FFAB402E"/>
      </left>
      <right style="thin">
        <color rgb="FFAB402E"/>
      </right>
      <top style="thin">
        <color rgb="FFAB402E"/>
      </top>
      <bottom style="thin">
        <color rgb="FFAB402E"/>
      </bottom>
      <diagonal/>
    </border>
    <border diagonalUp="false" diagonalDown="false">
      <left style="thin">
        <color rgb="FFAB402E"/>
      </left>
      <right style="thin">
        <color rgb="FFAB402E"/>
      </right>
      <top/>
      <bottom/>
      <diagonal/>
    </border>
    <border diagonalUp="false" diagonalDown="false">
      <left/>
      <right style="medium">
        <color rgb="FFAB402E"/>
      </right>
      <top style="thin">
        <color rgb="FFAB402E"/>
      </top>
      <bottom style="thin">
        <color rgb="FFAB402E"/>
      </bottom>
      <diagonal/>
    </border>
    <border diagonalUp="false" diagonalDown="false">
      <left style="thin">
        <color rgb="FF4F81BD"/>
      </left>
      <right style="thin">
        <color rgb="FF4F81BD"/>
      </right>
      <top style="thin">
        <color rgb="FF4F81BD"/>
      </top>
      <bottom style="thin">
        <color rgb="FF4F81BD"/>
      </bottom>
      <diagonal/>
    </border>
    <border diagonalUp="false" diagonalDown="false">
      <left style="thin">
        <color rgb="FF4F81BD"/>
      </left>
      <right/>
      <top/>
      <bottom style="thin">
        <color rgb="FF4F81BD"/>
      </bottom>
      <diagonal/>
    </border>
    <border diagonalUp="false" diagonalDown="false">
      <left/>
      <right style="thin">
        <color rgb="FF4F81BD"/>
      </right>
      <top/>
      <bottom style="thin">
        <color rgb="FF4F81BD"/>
      </bottom>
      <diagonal/>
    </border>
    <border diagonalUp="false" diagonalDown="false">
      <left style="medium">
        <color rgb="FFAB402E"/>
      </left>
      <right style="thin">
        <color rgb="FFAB402E"/>
      </right>
      <top style="thin">
        <color rgb="FF4F81BD"/>
      </top>
      <bottom style="thin">
        <color rgb="FFAB402E"/>
      </bottom>
      <diagonal/>
    </border>
    <border diagonalUp="false" diagonalDown="false">
      <left style="thin">
        <color rgb="FFAB402E"/>
      </left>
      <right style="thin">
        <color rgb="FFAB402E"/>
      </right>
      <top/>
      <bottom style="thin">
        <color rgb="FFAB402E"/>
      </bottom>
      <diagonal/>
    </border>
    <border diagonalUp="false" diagonalDown="false">
      <left/>
      <right style="medium">
        <color rgb="FFAB402E"/>
      </right>
      <top/>
      <bottom style="thin">
        <color rgb="FFAB402E"/>
      </bottom>
      <diagonal/>
    </border>
    <border diagonalUp="false" diagonalDown="false">
      <left style="thin">
        <color rgb="FF4F81BD"/>
      </left>
      <right style="thin">
        <color rgb="FF4F80BC"/>
      </right>
      <top style="thin">
        <color rgb="FF4F81BD"/>
      </top>
      <bottom/>
      <diagonal/>
    </border>
    <border diagonalUp="false" diagonalDown="false">
      <left/>
      <right style="thin">
        <color rgb="FF4F80BC"/>
      </right>
      <top/>
      <bottom/>
      <diagonal/>
    </border>
    <border diagonalUp="false" diagonalDown="false">
      <left/>
      <right style="thin">
        <color rgb="FF4F81BD"/>
      </right>
      <top style="thin">
        <color rgb="FF4F81BD"/>
      </top>
      <bottom/>
      <diagonal/>
    </border>
    <border diagonalUp="false" diagonalDown="false">
      <left style="medium">
        <color rgb="FFAB402E"/>
      </left>
      <right style="thin">
        <color rgb="FFAB402E"/>
      </right>
      <top style="thin">
        <color rgb="FFAB402E"/>
      </top>
      <bottom style="thin">
        <color rgb="FFAB402E"/>
      </bottom>
      <diagonal/>
    </border>
    <border diagonalUp="false" diagonalDown="false">
      <left/>
      <right/>
      <top/>
      <bottom style="thin">
        <color rgb="FF4F81BD"/>
      </bottom>
      <diagonal/>
    </border>
    <border diagonalUp="false" diagonalDown="false">
      <left style="thin">
        <color rgb="FFAB402E"/>
      </left>
      <right style="thin">
        <color rgb="FFAB402E"/>
      </right>
      <top/>
      <bottom style="thin">
        <color rgb="FF4F81BD"/>
      </bottom>
      <diagonal/>
    </border>
    <border diagonalUp="false" diagonalDown="false">
      <left/>
      <right style="medium">
        <color rgb="FFAB402E"/>
      </right>
      <top/>
      <bottom style="thin">
        <color rgb="FF4F81BD"/>
      </bottom>
      <diagonal/>
    </border>
    <border diagonalUp="false" diagonalDown="false">
      <left/>
      <right style="medium">
        <color rgb="FF01A439"/>
      </right>
      <top/>
      <bottom style="medium">
        <color rgb="FF01A439"/>
      </bottom>
      <diagonal/>
    </border>
    <border diagonalUp="false" diagonalDown="false">
      <left style="medium">
        <color rgb="FF01A439"/>
      </left>
      <right style="thin">
        <color rgb="FF01A439"/>
      </right>
      <top style="thin">
        <color rgb="FF01A439"/>
      </top>
      <bottom style="medium">
        <color rgb="FF01A439"/>
      </bottom>
      <diagonal/>
    </border>
    <border diagonalUp="false" diagonalDown="false">
      <left style="thin">
        <color rgb="FF01A439"/>
      </left>
      <right style="thin">
        <color rgb="FF01A439"/>
      </right>
      <top style="thin">
        <color rgb="FF01A439"/>
      </top>
      <bottom style="medium">
        <color rgb="FF01A439"/>
      </bottom>
      <diagonal/>
    </border>
    <border diagonalUp="false" diagonalDown="false">
      <left style="thin">
        <color rgb="FF4F80BC"/>
      </left>
      <right style="thin">
        <color rgb="FF4F81BD"/>
      </right>
      <top/>
      <bottom style="thin">
        <color rgb="FF4F80BC"/>
      </bottom>
      <diagonal/>
    </border>
    <border diagonalUp="false" diagonalDown="false">
      <left style="thin">
        <color rgb="FF4F81BD"/>
      </left>
      <right style="thin">
        <color rgb="FF4F80BC"/>
      </right>
      <top/>
      <bottom style="thin">
        <color rgb="FF4F80BC"/>
      </bottom>
      <diagonal/>
    </border>
    <border diagonalUp="false" diagonalDown="false">
      <left style="medium">
        <color rgb="FFAB402E"/>
      </left>
      <right style="medium">
        <color rgb="FFAB402E"/>
      </right>
      <top/>
      <bottom style="medium">
        <color rgb="FFAB402E"/>
      </bottom>
      <diagonal/>
    </border>
    <border diagonalUp="false" diagonalDown="false">
      <left style="medium">
        <color rgb="FFAB402E"/>
      </left>
      <right style="thin">
        <color rgb="FFAB402E"/>
      </right>
      <top/>
      <bottom style="medium">
        <color rgb="FFAB402E"/>
      </bottom>
      <diagonal/>
    </border>
    <border diagonalUp="false" diagonalDown="false">
      <left style="thin">
        <color rgb="FFAB402E"/>
      </left>
      <right style="thin">
        <color rgb="FFAB402E"/>
      </right>
      <top/>
      <bottom style="medium">
        <color rgb="FFAB402E"/>
      </bottom>
      <diagonal/>
    </border>
    <border diagonalUp="false" diagonalDown="false">
      <left/>
      <right/>
      <top/>
      <bottom style="medium">
        <color rgb="FFAB402E"/>
      </bottom>
      <diagonal/>
    </border>
    <border diagonalUp="false" diagonalDown="false">
      <left/>
      <right style="medium">
        <color rgb="FFAB402E"/>
      </right>
      <top/>
      <bottom style="medium">
        <color rgb="FFAB402E"/>
      </bottom>
      <diagonal/>
    </border>
    <border diagonalUp="false" diagonalDown="false">
      <left/>
      <right/>
      <top style="medium">
        <color rgb="FF01A439"/>
      </top>
      <bottom style="medium">
        <color rgb="FFFEC200"/>
      </bottom>
      <diagonal/>
    </border>
    <border diagonalUp="false" diagonalDown="false">
      <left/>
      <right/>
      <top style="medium">
        <color rgb="FFAB402E"/>
      </top>
      <bottom/>
      <diagonal/>
    </border>
    <border diagonalUp="false" diagonalDown="false">
      <left style="medium">
        <color rgb="FFFEC200"/>
      </left>
      <right style="thin">
        <color rgb="FFFEC200"/>
      </right>
      <top style="medium">
        <color rgb="FFFEC200"/>
      </top>
      <bottom/>
      <diagonal/>
    </border>
    <border diagonalUp="false" diagonalDown="false">
      <left style="thin">
        <color rgb="FFFEC200"/>
      </left>
      <right style="thin">
        <color rgb="FFFEC200"/>
      </right>
      <top style="medium">
        <color rgb="FFFEC200"/>
      </top>
      <bottom/>
      <diagonal/>
    </border>
    <border diagonalUp="false" diagonalDown="false">
      <left/>
      <right style="thin">
        <color rgb="FFFEC200"/>
      </right>
      <top style="medium">
        <color rgb="FFFEC200"/>
      </top>
      <bottom/>
      <diagonal/>
    </border>
    <border diagonalUp="false" diagonalDown="false">
      <left/>
      <right style="thin">
        <color rgb="FFFEC200"/>
      </right>
      <top style="medium">
        <color rgb="FFFEC200"/>
      </top>
      <bottom style="thin">
        <color rgb="FFFEC200"/>
      </bottom>
      <diagonal/>
    </border>
    <border diagonalUp="false" diagonalDown="false">
      <left/>
      <right style="medium">
        <color rgb="FFFEC200"/>
      </right>
      <top style="medium">
        <color rgb="FFFEC200"/>
      </top>
      <bottom style="thin">
        <color rgb="FFFEC200"/>
      </bottom>
      <diagonal/>
    </border>
    <border diagonalUp="false" diagonalDown="false">
      <left/>
      <right/>
      <top/>
      <bottom style="thin">
        <color rgb="FF4F80BC"/>
      </bottom>
      <diagonal/>
    </border>
    <border diagonalUp="false" diagonalDown="false">
      <left/>
      <right/>
      <top style="thin">
        <color rgb="FF4F81BD"/>
      </top>
      <bottom/>
      <diagonal/>
    </border>
    <border diagonalUp="false" diagonalDown="false">
      <left style="medium">
        <color rgb="FFC9C9C9"/>
      </left>
      <right style="medium">
        <color rgb="FFC9C9C9"/>
      </right>
      <top style="medium">
        <color rgb="FFC9C9C9"/>
      </top>
      <bottom/>
      <diagonal/>
    </border>
    <border diagonalUp="false" diagonalDown="false">
      <left style="medium">
        <color rgb="FFC9C9C9"/>
      </left>
      <right style="thin">
        <color rgb="FFC9C9C9"/>
      </right>
      <top style="medium">
        <color rgb="FFC9C9C9"/>
      </top>
      <bottom/>
      <diagonal/>
    </border>
    <border diagonalUp="false" diagonalDown="false">
      <left/>
      <right style="thin">
        <color rgb="FFC9C9C9"/>
      </right>
      <top style="medium">
        <color rgb="FFC9C9C9"/>
      </top>
      <bottom/>
      <diagonal/>
    </border>
    <border diagonalUp="false" diagonalDown="false">
      <left/>
      <right style="thin">
        <color rgb="FF4F81BD"/>
      </right>
      <top style="medium">
        <color rgb="FFC9C9C9"/>
      </top>
      <bottom/>
      <diagonal/>
    </border>
    <border diagonalUp="false" diagonalDown="false">
      <left style="thin">
        <color rgb="FF4F81BD"/>
      </left>
      <right style="thin">
        <color rgb="FFC9C9C9"/>
      </right>
      <top style="medium">
        <color rgb="FFC9C9C9"/>
      </top>
      <bottom/>
      <diagonal/>
    </border>
    <border diagonalUp="false" diagonalDown="false">
      <left style="thin">
        <color rgb="FFC9C9C9"/>
      </left>
      <right style="thin">
        <color rgb="FFC9C9C9"/>
      </right>
      <top style="medium">
        <color rgb="FFC9C9C9"/>
      </top>
      <bottom/>
      <diagonal/>
    </border>
    <border diagonalUp="false" diagonalDown="false">
      <left style="thin">
        <color rgb="FFC9C9C9"/>
      </left>
      <right style="thin">
        <color rgb="FFC9C9C9"/>
      </right>
      <top style="medium">
        <color rgb="FFC9C9C9"/>
      </top>
      <bottom style="thin">
        <color rgb="FFC9C9C9"/>
      </bottom>
      <diagonal/>
    </border>
    <border diagonalUp="false" diagonalDown="false">
      <left style="thin">
        <color rgb="FFC9C9C9"/>
      </left>
      <right style="medium">
        <color rgb="FFC9C9C9"/>
      </right>
      <top style="medium">
        <color rgb="FFC9C9C9"/>
      </top>
      <bottom style="thin">
        <color rgb="FFC9C9C9"/>
      </bottom>
      <diagonal/>
    </border>
    <border diagonalUp="false" diagonalDown="false">
      <left style="thin">
        <color rgb="FFFEC200"/>
      </left>
      <right style="thin">
        <color rgb="FFFEC200"/>
      </right>
      <top style="thin">
        <color rgb="FFFEC200"/>
      </top>
      <bottom style="thin">
        <color rgb="FFFEC200"/>
      </bottom>
      <diagonal/>
    </border>
    <border diagonalUp="false" diagonalDown="false">
      <left/>
      <right style="thin">
        <color rgb="FFFEC200"/>
      </right>
      <top style="thin">
        <color rgb="FFFEC200"/>
      </top>
      <bottom style="thin">
        <color rgb="FFFEC200"/>
      </bottom>
      <diagonal/>
    </border>
    <border diagonalUp="false" diagonalDown="false">
      <left/>
      <right style="medium">
        <color rgb="FFFEC200"/>
      </right>
      <top style="thin">
        <color rgb="FFFEC200"/>
      </top>
      <bottom style="thin">
        <color rgb="FFFEC200"/>
      </bottom>
      <diagonal/>
    </border>
    <border diagonalUp="false" diagonalDown="false">
      <left style="thin">
        <color rgb="FF4F81BD"/>
      </left>
      <right style="thin">
        <color rgb="FF4F80BC"/>
      </right>
      <top/>
      <bottom style="thin">
        <color rgb="FF4F81BD"/>
      </bottom>
      <diagonal/>
    </border>
    <border diagonalUp="false" diagonalDown="false">
      <left style="thin">
        <color rgb="FF4F80BC"/>
      </left>
      <right style="thin">
        <color rgb="FF4F80BC"/>
      </right>
      <top style="thin">
        <color rgb="FF4F80BC"/>
      </top>
      <bottom/>
      <diagonal/>
    </border>
    <border diagonalUp="false" diagonalDown="false">
      <left/>
      <right style="thin">
        <color rgb="FF4F81BD"/>
      </right>
      <top style="thin">
        <color rgb="FF4F81BD"/>
      </top>
      <bottom style="thin">
        <color rgb="FF4F81BD"/>
      </bottom>
      <diagonal/>
    </border>
    <border diagonalUp="false" diagonalDown="false">
      <left style="thin">
        <color rgb="FF4F81BD"/>
      </left>
      <right/>
      <top style="thin">
        <color rgb="FF4F81BD"/>
      </top>
      <bottom/>
      <diagonal/>
    </border>
    <border diagonalUp="false" diagonalDown="false">
      <left/>
      <right style="thin">
        <color rgb="FF4F80BC"/>
      </right>
      <top style="thin">
        <color rgb="FF4F80BC"/>
      </top>
      <bottom/>
      <diagonal/>
    </border>
    <border diagonalUp="false" diagonalDown="false">
      <left style="medium">
        <color rgb="FFC9C9C9"/>
      </left>
      <right style="medium">
        <color rgb="FFC9C9C9"/>
      </right>
      <top/>
      <bottom/>
      <diagonal/>
    </border>
    <border diagonalUp="false" diagonalDown="false">
      <left style="medium">
        <color rgb="FFC9C9C9"/>
      </left>
      <right style="thin">
        <color rgb="FFC9C9C9"/>
      </right>
      <top style="thin">
        <color rgb="FFC9C9C9"/>
      </top>
      <bottom style="thin">
        <color rgb="FFC9C9C9"/>
      </bottom>
      <diagonal/>
    </border>
    <border diagonalUp="false" diagonalDown="false">
      <left/>
      <right style="thin">
        <color rgb="FFC9C9C9"/>
      </right>
      <top style="thin">
        <color rgb="FFC9C9C9"/>
      </top>
      <bottom style="thin">
        <color rgb="FFC9C9C9"/>
      </bottom>
      <diagonal/>
    </border>
    <border diagonalUp="false" diagonalDown="false">
      <left style="thin">
        <color rgb="FFC9C9C9"/>
      </left>
      <right style="thin">
        <color rgb="FFC9C9C9"/>
      </right>
      <top/>
      <bottom/>
      <diagonal/>
    </border>
    <border diagonalUp="false" diagonalDown="false">
      <left style="thin">
        <color rgb="FFC9C9C9"/>
      </left>
      <right style="thin">
        <color rgb="FFC9C9C9"/>
      </right>
      <top style="thin">
        <color rgb="FFC9C9C9"/>
      </top>
      <bottom style="thin">
        <color rgb="FFC9C9C9"/>
      </bottom>
      <diagonal/>
    </border>
    <border diagonalUp="false" diagonalDown="false">
      <left/>
      <right style="medium">
        <color rgb="FFC9C9C9"/>
      </right>
      <top style="thin">
        <color rgb="FFC9C9C9"/>
      </top>
      <bottom style="thin">
        <color rgb="FFC9C9C9"/>
      </bottom>
      <diagonal/>
    </border>
    <border diagonalUp="false" diagonalDown="false">
      <left style="medium">
        <color rgb="FFC9C9C9"/>
      </left>
      <right/>
      <top style="thin">
        <color rgb="FFC9C9C9"/>
      </top>
      <bottom style="thin">
        <color rgb="FFC9C9C9"/>
      </bottom>
      <diagonal/>
    </border>
    <border diagonalUp="false" diagonalDown="false">
      <left style="thin">
        <color rgb="FFC9C9C9"/>
      </left>
      <right style="thin">
        <color rgb="FFC9C9C9"/>
      </right>
      <top/>
      <bottom style="thin">
        <color rgb="FFC9C9C9"/>
      </bottom>
      <diagonal/>
    </border>
    <border diagonalUp="false" diagonalDown="false">
      <left/>
      <right style="thin">
        <color rgb="FFC9C9C9"/>
      </right>
      <top/>
      <bottom style="thin">
        <color rgb="FFC9C9C9"/>
      </bottom>
      <diagonal/>
    </border>
    <border diagonalUp="false" diagonalDown="false">
      <left/>
      <right style="medium">
        <color rgb="FFC9C9C9"/>
      </right>
      <top/>
      <bottom style="thin">
        <color rgb="FFC9C9C9"/>
      </bottom>
      <diagonal/>
    </border>
    <border diagonalUp="false" diagonalDown="false">
      <left style="thin">
        <color rgb="FFFEC200"/>
      </left>
      <right style="thin">
        <color rgb="FFFEC200"/>
      </right>
      <top/>
      <bottom style="thin">
        <color rgb="FFFEC200"/>
      </bottom>
      <diagonal/>
    </border>
    <border diagonalUp="false" diagonalDown="false">
      <left/>
      <right style="thin">
        <color rgb="FFFEC200"/>
      </right>
      <top/>
      <bottom style="thin">
        <color rgb="FFFEC200"/>
      </bottom>
      <diagonal/>
    </border>
    <border diagonalUp="false" diagonalDown="false">
      <left style="thin">
        <color rgb="FFFEC200"/>
      </left>
      <right style="medium">
        <color rgb="FFFEC200"/>
      </right>
      <top style="thin">
        <color rgb="FFFEC200"/>
      </top>
      <bottom style="thin">
        <color rgb="FFFEC200"/>
      </bottom>
      <diagonal/>
    </border>
    <border diagonalUp="false" diagonalDown="false">
      <left style="medium">
        <color rgb="FFC9C9C9"/>
      </left>
      <right/>
      <top/>
      <bottom style="thin">
        <color rgb="FFC9C9C9"/>
      </bottom>
      <diagonal/>
    </border>
    <border diagonalUp="false" diagonalDown="false">
      <left/>
      <right style="medium">
        <color rgb="FFFEC200"/>
      </right>
      <top/>
      <bottom style="medium">
        <color rgb="FFFEC200"/>
      </bottom>
      <diagonal/>
    </border>
    <border diagonalUp="false" diagonalDown="false">
      <left style="medium">
        <color rgb="FFFEC200"/>
      </left>
      <right style="thin">
        <color rgb="FFFEC200"/>
      </right>
      <top/>
      <bottom style="medium">
        <color rgb="FFFEC200"/>
      </bottom>
      <diagonal/>
    </border>
    <border diagonalUp="false" diagonalDown="false">
      <left style="thin">
        <color rgb="FFFEC200"/>
      </left>
      <right style="thin">
        <color rgb="FFFEC200"/>
      </right>
      <top/>
      <bottom style="medium">
        <color rgb="FFFEC200"/>
      </bottom>
      <diagonal/>
    </border>
    <border diagonalUp="false" diagonalDown="false">
      <left/>
      <right style="thin">
        <color rgb="FFFEC200"/>
      </right>
      <top/>
      <bottom style="medium">
        <color rgb="FFFEC200"/>
      </bottom>
      <diagonal/>
    </border>
    <border diagonalUp="false" diagonalDown="false">
      <left/>
      <right/>
      <top/>
      <bottom style="medium">
        <color rgb="FFFEC200"/>
      </bottom>
      <diagonal/>
    </border>
    <border diagonalUp="false" diagonalDown="false">
      <left/>
      <right style="thin">
        <color rgb="FF4F81BD"/>
      </right>
      <top/>
      <bottom style="thin">
        <color rgb="FF4F80BC"/>
      </bottom>
      <diagonal/>
    </border>
    <border diagonalUp="false" diagonalDown="false">
      <left style="medium">
        <color rgb="FFC9C9C9"/>
      </left>
      <right style="medium">
        <color rgb="FFC9C9C9"/>
      </right>
      <top/>
      <bottom style="medium">
        <color rgb="FFC9C9C9"/>
      </bottom>
      <diagonal/>
    </border>
    <border diagonalUp="false" diagonalDown="false">
      <left style="medium">
        <color rgb="FFC9C9C9"/>
      </left>
      <right style="thin">
        <color rgb="FFC9C9C9"/>
      </right>
      <top style="thin">
        <color rgb="FFC9C9C9"/>
      </top>
      <bottom style="medium">
        <color rgb="FFC9C9C9"/>
      </bottom>
      <diagonal/>
    </border>
    <border diagonalUp="false" diagonalDown="false">
      <left/>
      <right style="thin">
        <color rgb="FFC9C9C9"/>
      </right>
      <top/>
      <bottom style="medium">
        <color rgb="FFC9C9C9"/>
      </bottom>
      <diagonal/>
    </border>
    <border diagonalUp="false" diagonalDown="false">
      <left style="thin">
        <color rgb="FFC9C9C9"/>
      </left>
      <right style="thin">
        <color rgb="FFC9C9C9"/>
      </right>
      <top style="thin">
        <color rgb="FFC9C9C9"/>
      </top>
      <bottom style="medium">
        <color rgb="FFC9C9C9"/>
      </bottom>
      <diagonal/>
    </border>
    <border diagonalUp="false" diagonalDown="false">
      <left/>
      <right/>
      <top/>
      <bottom style="medium">
        <color rgb="FFC9C9C9"/>
      </bottom>
      <diagonal/>
    </border>
    <border diagonalUp="false" diagonalDown="false">
      <left/>
      <right style="medium">
        <color rgb="FFC9C9C9"/>
      </right>
      <top/>
      <bottom style="medium">
        <color rgb="FFC9C9C9"/>
      </bottom>
      <diagonal/>
    </border>
    <border diagonalUp="false" diagonalDown="false">
      <left style="medium">
        <color rgb="FF00B3C9"/>
      </left>
      <right style="medium">
        <color rgb="FF00B3C9"/>
      </right>
      <top style="medium">
        <color rgb="FF00B3C9"/>
      </top>
      <bottom/>
      <diagonal/>
    </border>
    <border diagonalUp="false" diagonalDown="false">
      <left style="medium">
        <color rgb="FF00B3C9"/>
      </left>
      <right style="thin">
        <color rgb="FF00B3C9"/>
      </right>
      <top style="medium">
        <color rgb="FF00B3C9"/>
      </top>
      <bottom/>
      <diagonal/>
    </border>
    <border diagonalUp="false" diagonalDown="false">
      <left style="thin">
        <color rgb="FF00B3C9"/>
      </left>
      <right style="thin">
        <color rgb="FF00B3C9"/>
      </right>
      <top style="medium">
        <color rgb="FF00B3C9"/>
      </top>
      <bottom/>
      <diagonal/>
    </border>
    <border diagonalUp="false" diagonalDown="false">
      <left/>
      <right style="thin">
        <color rgb="FF00B3C9"/>
      </right>
      <top style="medium">
        <color rgb="FF00B3C9"/>
      </top>
      <bottom/>
      <diagonal/>
    </border>
    <border diagonalUp="false" diagonalDown="false">
      <left style="thin">
        <color rgb="FF00B3C9"/>
      </left>
      <right style="thin">
        <color rgb="FF00B3C9"/>
      </right>
      <top style="medium">
        <color rgb="FF00B3C9"/>
      </top>
      <bottom style="thin">
        <color rgb="FF00B3C9"/>
      </bottom>
      <diagonal/>
    </border>
    <border diagonalUp="false" diagonalDown="false">
      <left/>
      <right style="thin">
        <color rgb="FF00B3C9"/>
      </right>
      <top style="medium">
        <color rgb="FF00B3C9"/>
      </top>
      <bottom style="thin">
        <color rgb="FF00B3C9"/>
      </bottom>
      <diagonal/>
    </border>
    <border diagonalUp="false" diagonalDown="false">
      <left style="thin">
        <color rgb="FF00B3C9"/>
      </left>
      <right style="medium">
        <color rgb="FF00B3C9"/>
      </right>
      <top style="medium">
        <color rgb="FF00B3C9"/>
      </top>
      <bottom style="thin">
        <color rgb="FF00B3C9"/>
      </bottom>
      <diagonal/>
    </border>
    <border diagonalUp="false" diagonalDown="false">
      <left style="thin">
        <color rgb="FF4F80BC"/>
      </left>
      <right/>
      <top/>
      <bottom/>
      <diagonal/>
    </border>
    <border diagonalUp="false" diagonalDown="false">
      <left style="medium">
        <color rgb="FF2F75B5"/>
      </left>
      <right style="medium">
        <color rgb="FF2F75B5"/>
      </right>
      <top style="medium">
        <color rgb="FF2F75B5"/>
      </top>
      <bottom/>
      <diagonal/>
    </border>
    <border diagonalUp="false" diagonalDown="false">
      <left style="medium">
        <color rgb="FF2F75B5"/>
      </left>
      <right style="thin">
        <color rgb="FF2F75B5"/>
      </right>
      <top style="medium">
        <color rgb="FF2F75B5"/>
      </top>
      <bottom style="thin">
        <color rgb="FF2F75B5"/>
      </bottom>
      <diagonal/>
    </border>
    <border diagonalUp="false" diagonalDown="false">
      <left style="thin">
        <color rgb="FF2F75B5"/>
      </left>
      <right style="thin">
        <color rgb="FF2F75B5"/>
      </right>
      <top style="medium">
        <color rgb="FF2F75B5"/>
      </top>
      <bottom style="thin">
        <color rgb="FF2F75B5"/>
      </bottom>
      <diagonal/>
    </border>
    <border diagonalUp="false" diagonalDown="false">
      <left style="thin">
        <color rgb="FF2F75B5"/>
      </left>
      <right style="thin">
        <color rgb="FF4F81BD"/>
      </right>
      <top style="medium">
        <color rgb="FF2F75B5"/>
      </top>
      <bottom style="thin">
        <color rgb="FF2F75B5"/>
      </bottom>
      <diagonal/>
    </border>
    <border diagonalUp="false" diagonalDown="false">
      <left/>
      <right/>
      <top style="medium">
        <color rgb="FF2F75B5"/>
      </top>
      <bottom/>
      <diagonal/>
    </border>
    <border diagonalUp="false" diagonalDown="false">
      <left style="thin">
        <color rgb="FF4F81BD"/>
      </left>
      <right style="thin">
        <color rgb="FF2F75B5"/>
      </right>
      <top style="medium">
        <color rgb="FF2F75B5"/>
      </top>
      <bottom style="thin">
        <color rgb="FF4F81BD"/>
      </bottom>
      <diagonal/>
    </border>
    <border diagonalUp="false" diagonalDown="false">
      <left style="thin">
        <color rgb="FF2F75B5"/>
      </left>
      <right style="thin">
        <color rgb="FF2F75B5"/>
      </right>
      <top style="medium">
        <color rgb="FF2F75B5"/>
      </top>
      <bottom style="thin">
        <color rgb="FF4F81BD"/>
      </bottom>
      <diagonal/>
    </border>
    <border diagonalUp="false" diagonalDown="false">
      <left/>
      <right style="medium">
        <color rgb="FF2F75B5"/>
      </right>
      <top style="medium">
        <color rgb="FF2F75B5"/>
      </top>
      <bottom style="thin">
        <color rgb="FF4F81BD"/>
      </bottom>
      <diagonal/>
    </border>
    <border diagonalUp="false" diagonalDown="false">
      <left style="medium">
        <color rgb="FF00B3C9"/>
      </left>
      <right/>
      <top/>
      <bottom/>
      <diagonal/>
    </border>
    <border diagonalUp="false" diagonalDown="false">
      <left style="thin">
        <color rgb="FF00B3C9"/>
      </left>
      <right style="thin">
        <color rgb="FF00B3C9"/>
      </right>
      <top style="thin">
        <color rgb="FF00B3C9"/>
      </top>
      <bottom style="thin">
        <color rgb="FF00B3C9"/>
      </bottom>
      <diagonal/>
    </border>
    <border diagonalUp="false" diagonalDown="false">
      <left/>
      <right style="thin">
        <color rgb="FF00B3C9"/>
      </right>
      <top style="thin">
        <color rgb="FF00B3C9"/>
      </top>
      <bottom style="thin">
        <color rgb="FF00B3C9"/>
      </bottom>
      <diagonal/>
    </border>
    <border diagonalUp="false" diagonalDown="false">
      <left/>
      <right style="thin">
        <color rgb="FF00B3C9"/>
      </right>
      <top/>
      <bottom/>
      <diagonal/>
    </border>
    <border diagonalUp="false" diagonalDown="false">
      <left style="thin">
        <color rgb="FF00B3C9"/>
      </left>
      <right style="medium">
        <color rgb="FF00B3C9"/>
      </right>
      <top style="thin">
        <color rgb="FF00B3C9"/>
      </top>
      <bottom style="thin">
        <color rgb="FF00B3C9"/>
      </bottom>
      <diagonal/>
    </border>
    <border diagonalUp="false" diagonalDown="false">
      <left style="medium">
        <color rgb="FF2F75B5"/>
      </left>
      <right style="medium">
        <color rgb="FF2F75B5"/>
      </right>
      <top/>
      <bottom/>
      <diagonal/>
    </border>
    <border diagonalUp="false" diagonalDown="false">
      <left style="medium">
        <color rgb="FF2F75B5"/>
      </left>
      <right style="thin">
        <color rgb="FF2F75B5"/>
      </right>
      <top/>
      <bottom style="thin">
        <color rgb="FF2F75B5"/>
      </bottom>
      <diagonal/>
    </border>
    <border diagonalUp="false" diagonalDown="false">
      <left style="thin">
        <color rgb="FF2F75B5"/>
      </left>
      <right style="thin">
        <color rgb="FF2F75B5"/>
      </right>
      <top/>
      <bottom style="thin">
        <color rgb="FF2F75B5"/>
      </bottom>
      <diagonal/>
    </border>
    <border diagonalUp="false" diagonalDown="false">
      <left/>
      <right style="thin">
        <color rgb="FF4F81BD"/>
      </right>
      <top/>
      <bottom style="thin">
        <color rgb="FF2F75B5"/>
      </bottom>
      <diagonal/>
    </border>
    <border diagonalUp="false" diagonalDown="false">
      <left style="thin">
        <color rgb="FF4F81BD"/>
      </left>
      <right style="thin">
        <color rgb="FF2F75B5"/>
      </right>
      <top style="thin">
        <color rgb="FF4F81BD"/>
      </top>
      <bottom style="thin">
        <color rgb="FF2F75B5"/>
      </bottom>
      <diagonal/>
    </border>
    <border diagonalUp="false" diagonalDown="false">
      <left/>
      <right style="thin">
        <color rgb="FF4F81BD"/>
      </right>
      <top style="thin">
        <color rgb="FF4F81BD"/>
      </top>
      <bottom style="thin">
        <color rgb="FF2F75B5"/>
      </bottom>
      <diagonal/>
    </border>
    <border diagonalUp="false" diagonalDown="false">
      <left/>
      <right/>
      <top style="thin">
        <color rgb="FF4F81BD"/>
      </top>
      <bottom style="thin">
        <color rgb="FF2F75B5"/>
      </bottom>
      <diagonal/>
    </border>
    <border diagonalUp="false" diagonalDown="false">
      <left/>
      <right style="medium">
        <color rgb="FF2F75B5"/>
      </right>
      <top style="thin">
        <color rgb="FF4F81BD"/>
      </top>
      <bottom style="thin">
        <color rgb="FF2F75B5"/>
      </bottom>
      <diagonal/>
    </border>
    <border diagonalUp="false" diagonalDown="false">
      <left style="thin">
        <color rgb="FF00B3C9"/>
      </left>
      <right style="thin">
        <color rgb="FF00B3C9"/>
      </right>
      <top/>
      <bottom style="thin">
        <color rgb="FF00B3C9"/>
      </bottom>
      <diagonal/>
    </border>
    <border diagonalUp="false" diagonalDown="false">
      <left/>
      <right style="thin">
        <color rgb="FF00B3C9"/>
      </right>
      <top/>
      <bottom style="thin">
        <color rgb="FF00B3C9"/>
      </bottom>
      <diagonal/>
    </border>
    <border diagonalUp="false" diagonalDown="false">
      <left style="thin">
        <color rgb="FF4F81BD"/>
      </left>
      <right style="thin">
        <color rgb="FF2F75B5"/>
      </right>
      <top/>
      <bottom style="thin">
        <color rgb="FF2F75B5"/>
      </bottom>
      <diagonal/>
    </border>
    <border diagonalUp="false" diagonalDown="false">
      <left/>
      <right style="medium">
        <color rgb="FF2F75B5"/>
      </right>
      <top/>
      <bottom style="thin">
        <color rgb="FF2F75B5"/>
      </bottom>
      <diagonal/>
    </border>
    <border diagonalUp="false" diagonalDown="false">
      <left style="thin">
        <color rgb="FF4F80BC"/>
      </left>
      <right style="thin">
        <color rgb="FF4F80BC"/>
      </right>
      <top/>
      <bottom style="thin">
        <color rgb="FF4F80BC"/>
      </bottom>
      <diagonal/>
    </border>
    <border diagonalUp="false" diagonalDown="false">
      <left/>
      <right style="thin">
        <color rgb="FF4F80BC"/>
      </right>
      <top/>
      <bottom style="thin">
        <color rgb="FF4F80BC"/>
      </bottom>
      <diagonal/>
    </border>
    <border diagonalUp="false" diagonalDown="false">
      <left style="thin">
        <color rgb="FF4F81BD"/>
      </left>
      <right style="thin">
        <color rgb="FF2F75B5"/>
      </right>
      <top/>
      <bottom style="thin">
        <color rgb="FF4F81BD"/>
      </bottom>
      <diagonal/>
    </border>
    <border diagonalUp="false" diagonalDown="false">
      <left/>
      <right style="medium">
        <color rgb="FF2F75B5"/>
      </right>
      <top/>
      <bottom style="thin">
        <color rgb="FF4F81BD"/>
      </bottom>
      <diagonal/>
    </border>
    <border diagonalUp="false" diagonalDown="false">
      <left style="medium">
        <color rgb="FF00B3C9"/>
      </left>
      <right style="medium">
        <color rgb="FF00B3C9"/>
      </right>
      <top/>
      <bottom style="medium">
        <color rgb="FF00B3C9"/>
      </bottom>
      <diagonal/>
    </border>
    <border diagonalUp="false" diagonalDown="false">
      <left style="medium">
        <color rgb="FF00B3C9"/>
      </left>
      <right style="thin">
        <color rgb="FF00B3C9"/>
      </right>
      <top/>
      <bottom style="medium">
        <color rgb="FF00B3C9"/>
      </bottom>
      <diagonal/>
    </border>
    <border diagonalUp="false" diagonalDown="false">
      <left style="thin">
        <color rgb="FF00B3C9"/>
      </left>
      <right style="thin">
        <color rgb="FF00B3C9"/>
      </right>
      <top/>
      <bottom style="medium">
        <color rgb="FF00B3C9"/>
      </bottom>
      <diagonal/>
    </border>
    <border diagonalUp="false" diagonalDown="false">
      <left/>
      <right style="thin">
        <color rgb="FF00B3C9"/>
      </right>
      <top style="thin">
        <color rgb="FF00B3C9"/>
      </top>
      <bottom style="medium">
        <color rgb="FF00B3C9"/>
      </bottom>
      <diagonal/>
    </border>
    <border diagonalUp="false" diagonalDown="false">
      <left/>
      <right/>
      <top/>
      <bottom style="medium">
        <color rgb="FF00B3C9"/>
      </bottom>
      <diagonal/>
    </border>
    <border diagonalUp="false" diagonalDown="false">
      <left/>
      <right style="medium">
        <color rgb="FF00B3C9"/>
      </right>
      <top/>
      <bottom style="medium">
        <color rgb="FF00B3C9"/>
      </bottom>
      <diagonal/>
    </border>
    <border diagonalUp="false" diagonalDown="false">
      <left style="medium">
        <color rgb="FF2F75B5"/>
      </left>
      <right style="medium">
        <color rgb="FF2F75B5"/>
      </right>
      <top/>
      <bottom style="medium">
        <color rgb="FF2F75B5"/>
      </bottom>
      <diagonal/>
    </border>
    <border diagonalUp="false" diagonalDown="false">
      <left style="medium">
        <color rgb="FF2F75B5"/>
      </left>
      <right style="thin">
        <color rgb="FF2F75B5"/>
      </right>
      <top/>
      <bottom style="medium">
        <color rgb="FF2F75B5"/>
      </bottom>
      <diagonal/>
    </border>
    <border diagonalUp="false" diagonalDown="false">
      <left style="thin">
        <color rgb="FF2F75B5"/>
      </left>
      <right style="thin">
        <color rgb="FF2F75B5"/>
      </right>
      <top/>
      <bottom style="medium">
        <color rgb="FF2F75B5"/>
      </bottom>
      <diagonal/>
    </border>
    <border diagonalUp="false" diagonalDown="false">
      <left/>
      <right style="thin">
        <color rgb="FF4F81BD"/>
      </right>
      <top/>
      <bottom style="medium">
        <color rgb="FF2F75B5"/>
      </bottom>
      <diagonal/>
    </border>
    <border diagonalUp="false" diagonalDown="false">
      <left/>
      <right/>
      <top/>
      <bottom style="medium">
        <color rgb="FF2F75B5"/>
      </bottom>
      <diagonal/>
    </border>
    <border diagonalUp="false" diagonalDown="false">
      <left/>
      <right style="medium">
        <color rgb="FF2F75B5"/>
      </right>
      <top/>
      <bottom style="medium">
        <color rgb="FF2F75B5"/>
      </bottom>
      <diagonal/>
    </border>
    <border diagonalUp="false" diagonalDown="false">
      <left/>
      <right style="thin">
        <color rgb="FF4F81BD"/>
      </right>
      <top/>
      <bottom/>
      <diagonal/>
    </border>
    <border diagonalUp="false" diagonalDown="false">
      <left style="medium">
        <color rgb="FFF4B084"/>
      </left>
      <right/>
      <top style="medium">
        <color rgb="FFF4B084"/>
      </top>
      <bottom/>
      <diagonal/>
    </border>
    <border diagonalUp="false" diagonalDown="false">
      <left style="medium">
        <color rgb="FFF4B084"/>
      </left>
      <right style="thin">
        <color rgb="FFF4B084"/>
      </right>
      <top style="medium">
        <color rgb="FFF4B084"/>
      </top>
      <bottom style="thin">
        <color rgb="FFF4B084"/>
      </bottom>
      <diagonal/>
    </border>
    <border diagonalUp="false" diagonalDown="false">
      <left style="thin">
        <color rgb="FFF4B084"/>
      </left>
      <right style="thin">
        <color rgb="FFF4B084"/>
      </right>
      <top style="medium">
        <color rgb="FFF4B084"/>
      </top>
      <bottom style="thin">
        <color rgb="FFF4B084"/>
      </bottom>
      <diagonal/>
    </border>
    <border diagonalUp="false" diagonalDown="false">
      <left/>
      <right/>
      <top style="medium">
        <color rgb="FFF4B084"/>
      </top>
      <bottom/>
      <diagonal/>
    </border>
    <border diagonalUp="false" diagonalDown="false">
      <left style="thin">
        <color rgb="FFF4B084"/>
      </left>
      <right style="medium">
        <color rgb="FFF4B084"/>
      </right>
      <top style="medium">
        <color rgb="FFF4B084"/>
      </top>
      <bottom style="thin">
        <color rgb="FFF4B084"/>
      </bottom>
      <diagonal/>
    </border>
    <border diagonalUp="false" diagonalDown="false">
      <left style="medium">
        <color rgb="FF95B3D7"/>
      </left>
      <right style="medium">
        <color rgb="FF95B3D7"/>
      </right>
      <top style="medium">
        <color rgb="FF95B3D7"/>
      </top>
      <bottom/>
      <diagonal/>
    </border>
    <border diagonalUp="false" diagonalDown="false">
      <left style="medium">
        <color rgb="FF95B3D7"/>
      </left>
      <right style="thin">
        <color rgb="FF95B3D7"/>
      </right>
      <top style="medium">
        <color rgb="FF95B3D7"/>
      </top>
      <bottom style="thin">
        <color rgb="FF95B3D7"/>
      </bottom>
      <diagonal/>
    </border>
    <border diagonalUp="false" diagonalDown="false">
      <left style="thin">
        <color rgb="FF95B3D7"/>
      </left>
      <right style="thin">
        <color rgb="FF95B3D7"/>
      </right>
      <top style="medium">
        <color rgb="FF95B3D7"/>
      </top>
      <bottom style="thin">
        <color rgb="FF95B3D7"/>
      </bottom>
      <diagonal/>
    </border>
    <border diagonalUp="false" diagonalDown="false">
      <left style="thin">
        <color rgb="FF95B3D7"/>
      </left>
      <right style="thin">
        <color rgb="FF95B3D7"/>
      </right>
      <top style="medium">
        <color rgb="FF95B3D7"/>
      </top>
      <bottom/>
      <diagonal/>
    </border>
    <border diagonalUp="false" diagonalDown="false">
      <left/>
      <right style="medium">
        <color rgb="FF95B3D7"/>
      </right>
      <top style="medium">
        <color rgb="FF95B3D7"/>
      </top>
      <bottom style="thin">
        <color rgb="FF95B3D7"/>
      </bottom>
      <diagonal/>
    </border>
    <border diagonalUp="false" diagonalDown="false">
      <left style="medium">
        <color rgb="FFF4B084"/>
      </left>
      <right/>
      <top/>
      <bottom/>
      <diagonal/>
    </border>
    <border diagonalUp="false" diagonalDown="false">
      <left style="medium">
        <color rgb="FFF4B084"/>
      </left>
      <right style="thin">
        <color rgb="FFF4B084"/>
      </right>
      <top style="thin">
        <color rgb="FFF4B084"/>
      </top>
      <bottom style="thin">
        <color rgb="FFF4B084"/>
      </bottom>
      <diagonal/>
    </border>
    <border diagonalUp="false" diagonalDown="false">
      <left style="thin">
        <color rgb="FFF4B084"/>
      </left>
      <right style="thin">
        <color rgb="FFF4B084"/>
      </right>
      <top style="thin">
        <color rgb="FFF4B084"/>
      </top>
      <bottom style="thin">
        <color rgb="FFF4B084"/>
      </bottom>
      <diagonal/>
    </border>
    <border diagonalUp="false" diagonalDown="false">
      <left style="thin">
        <color rgb="FFF4B084"/>
      </left>
      <right style="medium">
        <color rgb="FFF4B084"/>
      </right>
      <top style="thin">
        <color rgb="FFF4B084"/>
      </top>
      <bottom style="thin">
        <color rgb="FFF4B084"/>
      </bottom>
      <diagonal/>
    </border>
    <border diagonalUp="false" diagonalDown="false">
      <left style="medium">
        <color rgb="FF95B3D7"/>
      </left>
      <right style="medium">
        <color rgb="FF95B3D7"/>
      </right>
      <top/>
      <bottom/>
      <diagonal/>
    </border>
    <border diagonalUp="false" diagonalDown="false">
      <left style="medium">
        <color rgb="FF95B3D7"/>
      </left>
      <right style="thin">
        <color rgb="FF95B3D7"/>
      </right>
      <top style="thin">
        <color rgb="FF95B3D7"/>
      </top>
      <bottom style="thin">
        <color rgb="FF95B3D7"/>
      </bottom>
      <diagonal/>
    </border>
    <border diagonalUp="false" diagonalDown="false">
      <left style="thin">
        <color rgb="FF95B3D7"/>
      </left>
      <right style="thin">
        <color rgb="FF95B3D7"/>
      </right>
      <top style="thin">
        <color rgb="FF95B3D7"/>
      </top>
      <bottom style="thin">
        <color rgb="FF95B3D7"/>
      </bottom>
      <diagonal/>
    </border>
    <border diagonalUp="false" diagonalDown="false">
      <left style="thin">
        <color rgb="FF95B3D7"/>
      </left>
      <right style="thin">
        <color rgb="FF95B3D7"/>
      </right>
      <top/>
      <bottom/>
      <diagonal/>
    </border>
    <border diagonalUp="false" diagonalDown="false">
      <left style="thin">
        <color rgb="FF95B3D7"/>
      </left>
      <right style="thin">
        <color rgb="FF95B3D7"/>
      </right>
      <top/>
      <bottom style="thin">
        <color rgb="FF95B3D7"/>
      </bottom>
      <diagonal/>
    </border>
    <border diagonalUp="false" diagonalDown="false">
      <left/>
      <right style="medium">
        <color rgb="FF95B3D7"/>
      </right>
      <top/>
      <bottom style="thin">
        <color rgb="FF95B3D7"/>
      </bottom>
      <diagonal/>
    </border>
    <border diagonalUp="false" diagonalDown="false">
      <left style="medium">
        <color rgb="FFF4B084"/>
      </left>
      <right/>
      <top/>
      <bottom style="medium">
        <color rgb="FFF4B084"/>
      </bottom>
      <diagonal/>
    </border>
    <border diagonalUp="false" diagonalDown="false">
      <left style="medium">
        <color rgb="FFF4B084"/>
      </left>
      <right style="thin">
        <color rgb="FFF4B084"/>
      </right>
      <top style="thin">
        <color rgb="FFF4B084"/>
      </top>
      <bottom style="medium">
        <color rgb="FFF4B084"/>
      </bottom>
      <diagonal/>
    </border>
    <border diagonalUp="false" diagonalDown="false">
      <left style="thin">
        <color rgb="FFF4B084"/>
      </left>
      <right style="thin">
        <color rgb="FFF4B084"/>
      </right>
      <top style="thin">
        <color rgb="FFF4B084"/>
      </top>
      <bottom style="medium">
        <color rgb="FFF4B084"/>
      </bottom>
      <diagonal/>
    </border>
    <border diagonalUp="false" diagonalDown="false">
      <left/>
      <right/>
      <top/>
      <bottom style="medium">
        <color rgb="FFF4B084"/>
      </bottom>
      <diagonal/>
    </border>
    <border diagonalUp="false" diagonalDown="false">
      <left/>
      <right style="medium">
        <color rgb="FFF4B084"/>
      </right>
      <top/>
      <bottom style="medium">
        <color rgb="FFF4B084"/>
      </bottom>
      <diagonal/>
    </border>
    <border diagonalUp="false" diagonalDown="false">
      <left style="medium">
        <color rgb="FF95B3D7"/>
      </left>
      <right style="medium">
        <color rgb="FF95B3D7"/>
      </right>
      <top/>
      <bottom style="medium">
        <color rgb="FF95B3D7"/>
      </bottom>
      <diagonal/>
    </border>
    <border diagonalUp="false" diagonalDown="false">
      <left style="medium">
        <color rgb="FF95B3D7"/>
      </left>
      <right style="thin">
        <color rgb="FF95B3D7"/>
      </right>
      <top/>
      <bottom style="medium">
        <color rgb="FF95B3D7"/>
      </bottom>
      <diagonal/>
    </border>
    <border diagonalUp="false" diagonalDown="false">
      <left style="thin">
        <color rgb="FF95B3D7"/>
      </left>
      <right style="thin">
        <color rgb="FF95B3D7"/>
      </right>
      <top/>
      <bottom style="medium">
        <color rgb="FF95B3D7"/>
      </bottom>
      <diagonal/>
    </border>
    <border diagonalUp="false" diagonalDown="false">
      <left/>
      <right/>
      <top/>
      <bottom style="medium">
        <color rgb="FF95B3D7"/>
      </bottom>
      <diagonal/>
    </border>
    <border diagonalUp="false" diagonalDown="false">
      <left/>
      <right style="medium">
        <color rgb="FF95B3D7"/>
      </right>
      <top/>
      <bottom style="medium">
        <color rgb="FF95B3D7"/>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89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20" applyFont="false" applyBorder="true" applyAlignment="true" applyProtection="tru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20" fillId="2" borderId="0" xfId="0" applyFont="true" applyBorder="false" applyAlignment="false" applyProtection="true">
      <alignment horizontal="general" vertical="bottom" textRotation="0" wrapText="false" indent="0" shrinkToFit="false"/>
      <protection locked="true" hidden="true"/>
    </xf>
    <xf numFmtId="164" fontId="2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true">
      <alignment horizontal="center" vertical="bottom" textRotation="0" wrapText="false" indent="0" shrinkToFit="false"/>
      <protection locked="true" hidden="true"/>
    </xf>
    <xf numFmtId="164" fontId="21" fillId="2" borderId="0" xfId="0" applyFont="true" applyBorder="false" applyAlignment="false" applyProtection="false">
      <alignment horizontal="general" vertical="bottom" textRotation="0" wrapText="false" indent="0" shrinkToFit="false"/>
      <protection locked="true" hidden="false"/>
    </xf>
    <xf numFmtId="164" fontId="21" fillId="2" borderId="0" xfId="0" applyFont="true" applyBorder="false" applyAlignment="false" applyProtection="true">
      <alignment horizontal="general" vertical="bottom" textRotation="0" wrapText="false" indent="0" shrinkToFit="false"/>
      <protection locked="true" hidden="true"/>
    </xf>
    <xf numFmtId="164" fontId="22" fillId="3" borderId="0" xfId="0" applyFont="true" applyBorder="false" applyAlignment="true" applyProtection="true">
      <alignment horizontal="general" vertical="center" textRotation="0" wrapText="false" indent="0" shrinkToFit="false"/>
      <protection locked="true" hidden="true"/>
    </xf>
    <xf numFmtId="164" fontId="23" fillId="3" borderId="0" xfId="0" applyFont="true" applyBorder="false" applyAlignment="true" applyProtection="true">
      <alignment horizontal="general" vertical="center" textRotation="0" wrapText="false" indent="0" shrinkToFit="false"/>
      <protection locked="true" hidden="true"/>
    </xf>
    <xf numFmtId="164" fontId="24" fillId="3" borderId="0" xfId="0" applyFont="true" applyBorder="false" applyAlignment="true" applyProtection="true">
      <alignment horizontal="general" vertical="center" textRotation="0" wrapText="false" indent="0" shrinkToFit="false"/>
      <protection locked="true" hidden="true"/>
    </xf>
    <xf numFmtId="164" fontId="25" fillId="3" borderId="0" xfId="0" applyFont="true" applyBorder="false" applyAlignment="true" applyProtection="true">
      <alignment horizontal="general" vertical="center" textRotation="0" wrapText="false" indent="0" shrinkToFit="false"/>
      <protection locked="true" hidden="true"/>
    </xf>
    <xf numFmtId="164" fontId="26" fillId="4" borderId="0" xfId="0" applyFont="true" applyBorder="true" applyAlignment="true" applyProtection="true">
      <alignment horizontal="center" vertical="center" textRotation="0" wrapText="false" indent="0" shrinkToFit="false"/>
      <protection locked="false" hidden="true"/>
    </xf>
    <xf numFmtId="164" fontId="21" fillId="3" borderId="0" xfId="0" applyFont="true" applyBorder="true" applyAlignment="true" applyProtection="false">
      <alignment horizontal="center" vertical="center" textRotation="0" wrapText="false" indent="0" shrinkToFit="false"/>
      <protection locked="true" hidden="false"/>
    </xf>
    <xf numFmtId="164" fontId="24" fillId="2" borderId="0" xfId="0" applyFont="true" applyBorder="false" applyAlignment="true" applyProtection="true">
      <alignment horizontal="general" vertical="center" textRotation="0" wrapText="false" indent="0" shrinkToFit="false"/>
      <protection locked="true" hidden="true"/>
    </xf>
    <xf numFmtId="164" fontId="25" fillId="3" borderId="0" xfId="0" applyFont="true" applyBorder="false" applyAlignment="true" applyProtection="true">
      <alignment horizontal="center" vertical="center" textRotation="0" wrapText="false" indent="0" shrinkToFit="false"/>
      <protection locked="true" hidden="true"/>
    </xf>
    <xf numFmtId="164" fontId="25" fillId="3" borderId="0" xfId="0" applyFont="true" applyBorder="false" applyAlignment="true" applyProtection="false">
      <alignment horizontal="center" vertical="center" textRotation="0" wrapText="false" indent="0" shrinkToFit="false"/>
      <protection locked="true" hidden="false"/>
    </xf>
    <xf numFmtId="164" fontId="27" fillId="3" borderId="0" xfId="0" applyFont="true" applyBorder="false" applyAlignment="false" applyProtection="true">
      <alignment horizontal="general" vertical="bottom" textRotation="0" wrapText="false" indent="0" shrinkToFit="false"/>
      <protection locked="true" hidden="true"/>
    </xf>
    <xf numFmtId="164" fontId="27" fillId="3" borderId="0" xfId="0" applyFont="true" applyBorder="false" applyAlignment="true" applyProtection="true">
      <alignment horizontal="center" vertical="bottom" textRotation="0" wrapText="false" indent="0" shrinkToFit="false"/>
      <protection locked="true" hidden="true"/>
    </xf>
    <xf numFmtId="164" fontId="25" fillId="3" borderId="0" xfId="0" applyFont="true" applyBorder="false" applyAlignment="true" applyProtection="true">
      <alignment horizontal="center" vertical="bottom" textRotation="0" wrapText="false" indent="0" shrinkToFit="false"/>
      <protection locked="true" hidden="true"/>
    </xf>
    <xf numFmtId="164" fontId="24" fillId="2" borderId="0" xfId="0" applyFont="true" applyBorder="false" applyAlignment="false" applyProtection="true">
      <alignment horizontal="general" vertical="bottom" textRotation="0" wrapText="false" indent="0" shrinkToFit="false"/>
      <protection locked="true" hidden="true"/>
    </xf>
    <xf numFmtId="164" fontId="24" fillId="3" borderId="0" xfId="0" applyFont="true" applyBorder="false" applyAlignment="false" applyProtection="true">
      <alignment horizontal="general" vertical="bottom" textRotation="0" wrapText="false" indent="0" shrinkToFit="false"/>
      <protection locked="true" hidden="true"/>
    </xf>
    <xf numFmtId="164" fontId="24" fillId="3" borderId="0" xfId="0" applyFont="true" applyBorder="false" applyAlignment="true" applyProtection="true">
      <alignment horizontal="center" vertical="bottom" textRotation="0" wrapText="false" indent="0" shrinkToFit="false"/>
      <protection locked="true" hidden="true"/>
    </xf>
    <xf numFmtId="164" fontId="24" fillId="3" borderId="0" xfId="0" applyFont="true" applyBorder="false" applyAlignment="true" applyProtection="true">
      <alignment horizontal="center" vertical="top" textRotation="0" wrapText="false" indent="0" shrinkToFit="false"/>
      <protection locked="true" hidden="true"/>
    </xf>
    <xf numFmtId="164" fontId="24" fillId="3" borderId="0" xfId="0" applyFont="true" applyBorder="false" applyAlignment="true" applyProtection="false">
      <alignment horizontal="right" vertical="bottom" textRotation="0" wrapText="false" indent="0" shrinkToFit="false"/>
      <protection locked="true" hidden="false"/>
    </xf>
    <xf numFmtId="164" fontId="24" fillId="3" borderId="0" xfId="0" applyFont="true" applyBorder="false" applyAlignment="true" applyProtection="false">
      <alignment horizontal="center" vertical="bottom" textRotation="0" wrapText="false" indent="0" shrinkToFit="false"/>
      <protection locked="true" hidden="false"/>
    </xf>
    <xf numFmtId="164" fontId="24" fillId="3" borderId="0" xfId="0" applyFont="true" applyBorder="false" applyAlignment="false" applyProtection="false">
      <alignment horizontal="general" vertical="bottom" textRotation="0" wrapText="false" indent="0" shrinkToFit="false"/>
      <protection locked="true" hidden="false"/>
    </xf>
    <xf numFmtId="165" fontId="21" fillId="2" borderId="0" xfId="0" applyFont="true" applyBorder="false" applyAlignment="false" applyProtection="true">
      <alignment horizontal="general" vertical="bottom" textRotation="0" wrapText="false" indent="0" shrinkToFit="false"/>
      <protection locked="true" hidden="true"/>
    </xf>
    <xf numFmtId="164" fontId="22" fillId="3" borderId="0" xfId="0" applyFont="true" applyBorder="false" applyAlignment="true" applyProtection="true">
      <alignment horizontal="left" vertical="center" textRotation="0" wrapText="false" indent="0" shrinkToFit="false"/>
      <protection locked="true" hidden="true"/>
    </xf>
    <xf numFmtId="164" fontId="22" fillId="3" borderId="0" xfId="0" applyFont="true" applyBorder="false" applyAlignment="true" applyProtection="true">
      <alignment horizontal="center" vertical="center" textRotation="0" wrapText="false" indent="0" shrinkToFit="false"/>
      <protection locked="true" hidden="true"/>
    </xf>
    <xf numFmtId="166" fontId="20" fillId="3" borderId="0" xfId="0" applyFont="true" applyBorder="false" applyAlignment="true" applyProtection="true">
      <alignment horizontal="general" vertical="center" textRotation="0" wrapText="false" indent="0" shrinkToFit="false"/>
      <protection locked="true" hidden="true"/>
    </xf>
    <xf numFmtId="164" fontId="0" fillId="3" borderId="0" xfId="0" applyFont="false" applyBorder="false" applyAlignment="false" applyProtection="true">
      <alignment horizontal="general" vertical="bottom" textRotation="0" wrapText="false" indent="0" shrinkToFit="false"/>
      <protection locked="true" hidden="true"/>
    </xf>
    <xf numFmtId="167" fontId="28" fillId="5" borderId="1" xfId="0" applyFont="true" applyBorder="true" applyAlignment="true" applyProtection="true">
      <alignment horizontal="center" vertical="center" textRotation="2" wrapText="false" indent="0" shrinkToFit="false"/>
      <protection locked="true" hidden="true"/>
    </xf>
    <xf numFmtId="167" fontId="29" fillId="6" borderId="2" xfId="0" applyFont="true" applyBorder="true" applyAlignment="true" applyProtection="true">
      <alignment horizontal="center" vertical="center" textRotation="0" wrapText="false" indent="0" shrinkToFit="false"/>
      <protection locked="true" hidden="true"/>
    </xf>
    <xf numFmtId="168" fontId="29" fillId="6" borderId="2" xfId="0" applyFont="true" applyBorder="true" applyAlignment="true" applyProtection="true">
      <alignment horizontal="center" vertical="center" textRotation="0" wrapText="false" indent="0" shrinkToFit="false"/>
      <protection locked="true" hidden="true"/>
    </xf>
    <xf numFmtId="166" fontId="21" fillId="6" borderId="3" xfId="0" applyFont="true" applyBorder="true" applyAlignment="true" applyProtection="true">
      <alignment horizontal="right" vertical="bottom" textRotation="0" wrapText="false" indent="0" shrinkToFit="false"/>
      <protection locked="true" hidden="true"/>
    </xf>
    <xf numFmtId="166" fontId="21" fillId="6" borderId="4" xfId="0" applyFont="true" applyBorder="true" applyAlignment="true" applyProtection="true">
      <alignment horizontal="general" vertical="center" textRotation="0" wrapText="false" indent="0" shrinkToFit="false"/>
      <protection locked="true" hidden="true"/>
    </xf>
    <xf numFmtId="164" fontId="21" fillId="6" borderId="5" xfId="0" applyFont="true" applyBorder="true" applyAlignment="true" applyProtection="true">
      <alignment horizontal="center" vertical="bottom" textRotation="0" wrapText="false" indent="0" shrinkToFit="false"/>
      <protection locked="false" hidden="false"/>
    </xf>
    <xf numFmtId="166" fontId="21" fillId="6" borderId="3" xfId="0" applyFont="true" applyBorder="true" applyAlignment="true" applyProtection="true">
      <alignment horizontal="general" vertical="center" textRotation="0" wrapText="false" indent="0" shrinkToFit="false"/>
      <protection locked="true" hidden="true"/>
    </xf>
    <xf numFmtId="166" fontId="21" fillId="6" borderId="6" xfId="0" applyFont="true" applyBorder="true" applyAlignment="true" applyProtection="true">
      <alignment horizontal="left" vertical="bottom" textRotation="0" wrapText="false" indent="0" shrinkToFit="false"/>
      <protection locked="true" hidden="true"/>
    </xf>
    <xf numFmtId="166" fontId="30" fillId="3" borderId="0" xfId="0" applyFont="true" applyBorder="false" applyAlignment="true" applyProtection="true">
      <alignment horizontal="center" vertical="bottom" textRotation="0" wrapText="false" indent="0" shrinkToFit="false"/>
      <protection locked="true" hidden="true"/>
    </xf>
    <xf numFmtId="164" fontId="21" fillId="3" borderId="0" xfId="0" applyFont="true" applyBorder="false" applyAlignment="false" applyProtection="true">
      <alignment horizontal="general" vertical="bottom" textRotation="0" wrapText="false" indent="0" shrinkToFit="false"/>
      <protection locked="true" hidden="true"/>
    </xf>
    <xf numFmtId="166" fontId="24" fillId="5" borderId="7" xfId="0" applyFont="true" applyBorder="true" applyAlignment="true" applyProtection="true">
      <alignment horizontal="center" vertical="bottom" textRotation="0" wrapText="false" indent="0" shrinkToFit="false"/>
      <protection locked="true" hidden="true"/>
    </xf>
    <xf numFmtId="164" fontId="31" fillId="3" borderId="0" xfId="0" applyFont="true" applyBorder="false" applyAlignment="true" applyProtection="true">
      <alignment horizontal="center" vertical="bottom" textRotation="0" wrapText="false" indent="0" shrinkToFit="false"/>
      <protection locked="true" hidden="true"/>
    </xf>
    <xf numFmtId="164" fontId="32" fillId="3" borderId="0" xfId="0" applyFont="true" applyBorder="true" applyAlignment="true" applyProtection="true">
      <alignment horizontal="center" vertical="center" textRotation="0" wrapText="true" indent="0" shrinkToFit="false"/>
      <protection locked="true" hidden="true"/>
    </xf>
    <xf numFmtId="167" fontId="29" fillId="6" borderId="0" xfId="0" applyFont="true" applyBorder="false" applyAlignment="true" applyProtection="true">
      <alignment horizontal="center" vertical="center" textRotation="0" wrapText="false" indent="0" shrinkToFit="false"/>
      <protection locked="true" hidden="true"/>
    </xf>
    <xf numFmtId="168" fontId="29" fillId="6" borderId="0" xfId="0" applyFont="true" applyBorder="false" applyAlignment="true" applyProtection="true">
      <alignment horizontal="center" vertical="center" textRotation="0" wrapText="false" indent="0" shrinkToFit="false"/>
      <protection locked="true" hidden="true"/>
    </xf>
    <xf numFmtId="166" fontId="21" fillId="6" borderId="8" xfId="0" applyFont="true" applyBorder="true" applyAlignment="true" applyProtection="true">
      <alignment horizontal="right" vertical="bottom" textRotation="0" wrapText="false" indent="0" shrinkToFit="false"/>
      <protection locked="true" hidden="true"/>
    </xf>
    <xf numFmtId="166" fontId="21" fillId="6" borderId="9" xfId="0" applyFont="true" applyBorder="true" applyAlignment="true" applyProtection="true">
      <alignment horizontal="general" vertical="center" textRotation="0" wrapText="false" indent="0" shrinkToFit="false"/>
      <protection locked="true" hidden="true"/>
    </xf>
    <xf numFmtId="164" fontId="21" fillId="6" borderId="10" xfId="0" applyFont="true" applyBorder="true" applyAlignment="true" applyProtection="true">
      <alignment horizontal="center" vertical="bottom" textRotation="0" wrapText="false" indent="0" shrinkToFit="false"/>
      <protection locked="false" hidden="false"/>
    </xf>
    <xf numFmtId="166" fontId="21" fillId="6" borderId="8" xfId="0" applyFont="true" applyBorder="true" applyAlignment="true" applyProtection="true">
      <alignment horizontal="general" vertical="center" textRotation="0" wrapText="false" indent="0" shrinkToFit="false"/>
      <protection locked="true" hidden="true"/>
    </xf>
    <xf numFmtId="166" fontId="21" fillId="6" borderId="11" xfId="0" applyFont="true" applyBorder="true" applyAlignment="true" applyProtection="true">
      <alignment horizontal="left" vertical="bottom" textRotation="0" wrapText="false" indent="0" shrinkToFit="false"/>
      <protection locked="true" hidden="true"/>
    </xf>
    <xf numFmtId="164" fontId="24" fillId="5" borderId="12" xfId="0" applyFont="true" applyBorder="true" applyAlignment="true" applyProtection="true">
      <alignment horizontal="center" vertical="center" textRotation="0" wrapText="false" indent="0" shrinkToFit="false"/>
      <protection locked="true" hidden="true"/>
    </xf>
    <xf numFmtId="164" fontId="24" fillId="5" borderId="13" xfId="0" applyFont="true" applyBorder="true" applyAlignment="true" applyProtection="true">
      <alignment horizontal="left" vertical="center" textRotation="0" wrapText="false" indent="0" shrinkToFit="false"/>
      <protection locked="true" hidden="true"/>
    </xf>
    <xf numFmtId="164" fontId="24" fillId="5" borderId="13" xfId="0" applyFont="true" applyBorder="true" applyAlignment="true" applyProtection="true">
      <alignment horizontal="center" vertical="center" textRotation="0" wrapText="false" indent="0" shrinkToFit="false"/>
      <protection locked="true" hidden="true"/>
    </xf>
    <xf numFmtId="164" fontId="24" fillId="5" borderId="14" xfId="0" applyFont="true" applyBorder="true" applyAlignment="true" applyProtection="true">
      <alignment horizontal="center" vertical="center" textRotation="0" wrapText="false" indent="0" shrinkToFit="false"/>
      <protection locked="true" hidden="true"/>
    </xf>
    <xf numFmtId="164" fontId="24" fillId="2" borderId="0" xfId="0" applyFont="true" applyBorder="false" applyAlignment="true" applyProtection="true">
      <alignment horizontal="center" vertical="bottom" textRotation="0" wrapText="false" indent="0" shrinkToFit="false"/>
      <protection locked="true" hidden="true"/>
    </xf>
    <xf numFmtId="164" fontId="24" fillId="2" borderId="0" xfId="0" applyFont="true" applyBorder="false" applyAlignment="false" applyProtection="false">
      <alignment horizontal="general" vertical="bottom" textRotation="0" wrapText="false" indent="0" shrinkToFit="false"/>
      <protection locked="true" hidden="false"/>
    </xf>
    <xf numFmtId="164" fontId="22" fillId="3" borderId="0" xfId="0" applyFont="true" applyBorder="false" applyAlignment="false" applyProtection="true">
      <alignment horizontal="general" vertical="bottom" textRotation="0" wrapText="false" indent="0" shrinkToFit="false"/>
      <protection locked="true" hidden="true"/>
    </xf>
    <xf numFmtId="164" fontId="33" fillId="7" borderId="15" xfId="0" applyFont="true" applyBorder="true" applyAlignment="true" applyProtection="true">
      <alignment horizontal="center" vertical="center" textRotation="0" wrapText="false" indent="0" shrinkToFit="false"/>
      <protection locked="true" hidden="true"/>
    </xf>
    <xf numFmtId="166" fontId="33" fillId="7" borderId="2" xfId="0" applyFont="true" applyBorder="true" applyAlignment="true" applyProtection="true">
      <alignment horizontal="left" vertical="center" textRotation="0" wrapText="false" indent="0" shrinkToFit="false"/>
      <protection locked="true" hidden="true"/>
    </xf>
    <xf numFmtId="166" fontId="33" fillId="7" borderId="2" xfId="0" applyFont="true" applyBorder="true" applyAlignment="true" applyProtection="true">
      <alignment horizontal="center" vertical="center" textRotation="0" wrapText="false" indent="0" shrinkToFit="false"/>
      <protection locked="true" hidden="true"/>
    </xf>
    <xf numFmtId="166" fontId="33" fillId="7" borderId="6" xfId="0" applyFont="true" applyBorder="true" applyAlignment="true" applyProtection="true">
      <alignment horizontal="center" vertical="center" textRotation="0" wrapText="false" indent="0" shrinkToFit="false"/>
      <protection locked="true" hidden="true"/>
    </xf>
    <xf numFmtId="166" fontId="34" fillId="3" borderId="0" xfId="0" applyFont="true" applyBorder="false" applyAlignment="true" applyProtection="true">
      <alignment horizontal="center" vertical="center" textRotation="0" wrapText="false" indent="0" shrinkToFit="false"/>
      <protection locked="true" hidden="true"/>
    </xf>
    <xf numFmtId="166" fontId="35" fillId="3" borderId="0" xfId="0" applyFont="true" applyBorder="false" applyAlignment="true" applyProtection="true">
      <alignment horizontal="left" vertical="center" textRotation="0" wrapText="false" indent="0" shrinkToFit="false"/>
      <protection locked="true" hidden="true"/>
    </xf>
    <xf numFmtId="164" fontId="36" fillId="3" borderId="0" xfId="0" applyFont="true" applyBorder="false" applyAlignment="true" applyProtection="true">
      <alignment horizontal="center" vertical="center" textRotation="0" wrapText="false" indent="0" shrinkToFit="false"/>
      <protection locked="false" hidden="true"/>
    </xf>
    <xf numFmtId="164" fontId="37" fillId="3" borderId="0" xfId="0" applyFont="true" applyBorder="false" applyAlignment="true" applyProtection="true">
      <alignment horizontal="center" vertical="center" textRotation="0" wrapText="false" indent="0" shrinkToFit="false"/>
      <protection locked="true" hidden="true"/>
    </xf>
    <xf numFmtId="164" fontId="38" fillId="3" borderId="0" xfId="0" applyFont="true" applyBorder="false" applyAlignment="true" applyProtection="true">
      <alignment horizontal="center" vertical="center" textRotation="0" wrapText="false" indent="0" shrinkToFit="false"/>
      <protection locked="true" hidden="true"/>
    </xf>
    <xf numFmtId="166" fontId="24" fillId="2" borderId="0" xfId="0" applyFont="true" applyBorder="false" applyAlignment="true" applyProtection="true">
      <alignment horizontal="center" vertical="center" textRotation="0" wrapText="false" indent="0" shrinkToFit="false"/>
      <protection locked="true" hidden="true"/>
    </xf>
    <xf numFmtId="166" fontId="21" fillId="2" borderId="0" xfId="0" applyFont="true" applyBorder="false" applyAlignment="true" applyProtection="true">
      <alignment horizontal="center" vertical="bottom" textRotation="0" wrapText="false" indent="0" shrinkToFit="false"/>
      <protection locked="true" hidden="true"/>
    </xf>
    <xf numFmtId="169" fontId="21" fillId="2" borderId="0" xfId="0" applyFont="true" applyBorder="false" applyAlignment="false" applyProtection="false">
      <alignment horizontal="general" vertical="bottom" textRotation="0" wrapText="false" indent="0" shrinkToFit="false"/>
      <protection locked="true" hidden="false"/>
    </xf>
    <xf numFmtId="164" fontId="20" fillId="3" borderId="0" xfId="0" applyFont="true" applyBorder="false" applyAlignment="false" applyProtection="true">
      <alignment horizontal="general" vertical="bottom" textRotation="0" wrapText="false" indent="0" shrinkToFit="false"/>
      <protection locked="true" hidden="true"/>
    </xf>
    <xf numFmtId="164" fontId="33" fillId="7" borderId="16" xfId="0" applyFont="true" applyBorder="true" applyAlignment="true" applyProtection="true">
      <alignment horizontal="center" vertical="center" textRotation="0" wrapText="false" indent="0" shrinkToFit="false"/>
      <protection locked="true" hidden="true"/>
    </xf>
    <xf numFmtId="166" fontId="33" fillId="7" borderId="0" xfId="0" applyFont="true" applyBorder="false" applyAlignment="true" applyProtection="true">
      <alignment horizontal="left" vertical="center" textRotation="0" wrapText="false" indent="0" shrinkToFit="false"/>
      <protection locked="true" hidden="true"/>
    </xf>
    <xf numFmtId="166" fontId="33" fillId="7" borderId="0" xfId="0" applyFont="true" applyBorder="false" applyAlignment="true" applyProtection="true">
      <alignment horizontal="center" vertical="center" textRotation="0" wrapText="false" indent="0" shrinkToFit="false"/>
      <protection locked="true" hidden="true"/>
    </xf>
    <xf numFmtId="166" fontId="33" fillId="7" borderId="11" xfId="0" applyFont="true" applyBorder="true" applyAlignment="true" applyProtection="true">
      <alignment horizontal="center" vertical="center" textRotation="0" wrapText="false" indent="0" shrinkToFit="false"/>
      <protection locked="true" hidden="true"/>
    </xf>
    <xf numFmtId="167" fontId="29" fillId="6" borderId="13" xfId="0" applyFont="true" applyBorder="true" applyAlignment="true" applyProtection="true">
      <alignment horizontal="center" vertical="center" textRotation="0" wrapText="false" indent="0" shrinkToFit="false"/>
      <protection locked="true" hidden="true"/>
    </xf>
    <xf numFmtId="168" fontId="29" fillId="6" borderId="13" xfId="0" applyFont="true" applyBorder="true" applyAlignment="true" applyProtection="true">
      <alignment horizontal="center" vertical="center" textRotation="0" wrapText="false" indent="0" shrinkToFit="false"/>
      <protection locked="true" hidden="true"/>
    </xf>
    <xf numFmtId="166" fontId="21" fillId="6" borderId="17" xfId="0" applyFont="true" applyBorder="true" applyAlignment="true" applyProtection="true">
      <alignment horizontal="right" vertical="bottom" textRotation="0" wrapText="false" indent="0" shrinkToFit="false"/>
      <protection locked="true" hidden="true"/>
    </xf>
    <xf numFmtId="166" fontId="21" fillId="6" borderId="18" xfId="0" applyFont="true" applyBorder="true" applyAlignment="true" applyProtection="true">
      <alignment horizontal="general" vertical="center" textRotation="0" wrapText="false" indent="0" shrinkToFit="false"/>
      <protection locked="true" hidden="true"/>
    </xf>
    <xf numFmtId="164" fontId="21" fillId="6" borderId="19" xfId="0" applyFont="true" applyBorder="true" applyAlignment="true" applyProtection="true">
      <alignment horizontal="center" vertical="bottom" textRotation="0" wrapText="false" indent="0" shrinkToFit="false"/>
      <protection locked="false" hidden="false"/>
    </xf>
    <xf numFmtId="166" fontId="21" fillId="6" borderId="17" xfId="0" applyFont="true" applyBorder="true" applyAlignment="true" applyProtection="true">
      <alignment horizontal="general" vertical="center" textRotation="0" wrapText="false" indent="0" shrinkToFit="false"/>
      <protection locked="true" hidden="true"/>
    </xf>
    <xf numFmtId="166" fontId="21" fillId="6" borderId="14" xfId="0" applyFont="true" applyBorder="true" applyAlignment="true" applyProtection="true">
      <alignment horizontal="left" vertical="bottom" textRotation="0" wrapText="false" indent="0" shrinkToFit="false"/>
      <protection locked="true" hidden="true"/>
    </xf>
    <xf numFmtId="164" fontId="33" fillId="7" borderId="12" xfId="0" applyFont="true" applyBorder="true" applyAlignment="true" applyProtection="true">
      <alignment horizontal="center" vertical="center" textRotation="0" wrapText="false" indent="0" shrinkToFit="false"/>
      <protection locked="true" hidden="true"/>
    </xf>
    <xf numFmtId="166" fontId="33" fillId="7" borderId="13" xfId="0" applyFont="true" applyBorder="true" applyAlignment="true" applyProtection="true">
      <alignment horizontal="left" vertical="center" textRotation="0" wrapText="false" indent="0" shrinkToFit="false"/>
      <protection locked="true" hidden="true"/>
    </xf>
    <xf numFmtId="166" fontId="33" fillId="7" borderId="13" xfId="0" applyFont="true" applyBorder="true" applyAlignment="true" applyProtection="true">
      <alignment horizontal="center" vertical="center" textRotation="0" wrapText="false" indent="0" shrinkToFit="false"/>
      <protection locked="true" hidden="true"/>
    </xf>
    <xf numFmtId="166" fontId="33" fillId="7" borderId="14" xfId="0" applyFont="true" applyBorder="true" applyAlignment="true" applyProtection="true">
      <alignment horizontal="center" vertical="center" textRotation="0" wrapText="false" indent="0" shrinkToFit="false"/>
      <protection locked="true" hidden="true"/>
    </xf>
    <xf numFmtId="167" fontId="21" fillId="3" borderId="0" xfId="0" applyFont="true" applyBorder="false" applyAlignment="false" applyProtection="true">
      <alignment horizontal="general" vertical="bottom" textRotation="0" wrapText="false" indent="0" shrinkToFit="false"/>
      <protection locked="true" hidden="true"/>
    </xf>
    <xf numFmtId="167" fontId="39" fillId="3" borderId="0" xfId="0" applyFont="true" applyBorder="false" applyAlignment="false" applyProtection="true">
      <alignment horizontal="general" vertical="bottom" textRotation="0" wrapText="false" indent="0" shrinkToFit="false"/>
      <protection locked="true" hidden="true"/>
    </xf>
    <xf numFmtId="167" fontId="21" fillId="3" borderId="0" xfId="0" applyFont="true" applyBorder="false" applyAlignment="true" applyProtection="true">
      <alignment horizontal="center" vertical="center" textRotation="0" wrapText="false" indent="0" shrinkToFit="false"/>
      <protection locked="true" hidden="true"/>
    </xf>
    <xf numFmtId="164" fontId="21" fillId="3" borderId="0" xfId="0" applyFont="true" applyBorder="false" applyAlignment="true" applyProtection="true">
      <alignment horizontal="right" vertical="bottom" textRotation="0" wrapText="false" indent="0" shrinkToFit="false"/>
      <protection locked="true" hidden="true"/>
    </xf>
    <xf numFmtId="164" fontId="21" fillId="3" borderId="0" xfId="0" applyFont="true" applyBorder="false" applyAlignment="true" applyProtection="true">
      <alignment horizontal="left" vertical="bottom" textRotation="0" wrapText="false" indent="0" shrinkToFit="false"/>
      <protection locked="true" hidden="true"/>
    </xf>
    <xf numFmtId="164" fontId="29" fillId="3" borderId="0" xfId="0" applyFont="true" applyBorder="false" applyAlignment="true" applyProtection="true">
      <alignment horizontal="center" vertical="bottom" textRotation="0" wrapText="false" indent="0" shrinkToFit="false"/>
      <protection locked="true" hidden="true"/>
    </xf>
    <xf numFmtId="164" fontId="21" fillId="3" borderId="0" xfId="0" applyFont="true" applyBorder="false" applyAlignment="true" applyProtection="true">
      <alignment horizontal="center" vertical="center" textRotation="0" wrapText="false" indent="0" shrinkToFit="false"/>
      <protection locked="true" hidden="true"/>
    </xf>
    <xf numFmtId="164" fontId="21" fillId="3" borderId="0" xfId="0" applyFont="true" applyBorder="false" applyAlignment="true" applyProtection="true">
      <alignment horizontal="left" vertical="center" textRotation="0" wrapText="false" indent="0" shrinkToFit="false"/>
      <protection locked="true" hidden="true"/>
    </xf>
    <xf numFmtId="164" fontId="24" fillId="3" borderId="0" xfId="0" applyFont="true" applyBorder="false" applyAlignment="true" applyProtection="true">
      <alignment horizontal="center" vertical="center" textRotation="0" wrapText="false" indent="0" shrinkToFit="false"/>
      <protection locked="true" hidden="true"/>
    </xf>
    <xf numFmtId="164" fontId="34" fillId="3" borderId="0" xfId="0" applyFont="true" applyBorder="false" applyAlignment="true" applyProtection="true">
      <alignment horizontal="center" vertical="center" textRotation="0" wrapText="false" indent="0" shrinkToFit="false"/>
      <protection locked="true" hidden="true"/>
    </xf>
    <xf numFmtId="164" fontId="40" fillId="3" borderId="0" xfId="0" applyFont="true" applyBorder="false" applyAlignment="true" applyProtection="true">
      <alignment horizontal="center" vertical="bottom" textRotation="0" wrapText="false" indent="0" shrinkToFit="false"/>
      <protection locked="true" hidden="true"/>
    </xf>
    <xf numFmtId="167" fontId="28" fillId="8" borderId="20" xfId="0" applyFont="true" applyBorder="true" applyAlignment="true" applyProtection="true">
      <alignment horizontal="center" vertical="center" textRotation="2" wrapText="false" indent="0" shrinkToFit="false"/>
      <protection locked="true" hidden="true"/>
    </xf>
    <xf numFmtId="167" fontId="29" fillId="9" borderId="21" xfId="0" applyFont="true" applyBorder="true" applyAlignment="true" applyProtection="true">
      <alignment horizontal="center" vertical="center" textRotation="0" wrapText="false" indent="0" shrinkToFit="false"/>
      <protection locked="true" hidden="true"/>
    </xf>
    <xf numFmtId="168" fontId="29" fillId="9" borderId="21" xfId="0" applyFont="true" applyBorder="true" applyAlignment="true" applyProtection="true">
      <alignment horizontal="center" vertical="center" textRotation="0" wrapText="false" indent="0" shrinkToFit="false"/>
      <protection locked="true" hidden="true"/>
    </xf>
    <xf numFmtId="166" fontId="21" fillId="9" borderId="22" xfId="0" applyFont="true" applyBorder="true" applyAlignment="true" applyProtection="true">
      <alignment horizontal="right" vertical="bottom" textRotation="0" wrapText="false" indent="0" shrinkToFit="false"/>
      <protection locked="true" hidden="true"/>
    </xf>
    <xf numFmtId="166" fontId="21" fillId="9" borderId="23" xfId="0" applyFont="true" applyBorder="true" applyAlignment="false" applyProtection="true">
      <alignment horizontal="general" vertical="bottom" textRotation="0" wrapText="false" indent="0" shrinkToFit="false"/>
      <protection locked="true" hidden="true"/>
    </xf>
    <xf numFmtId="164" fontId="21" fillId="9" borderId="24" xfId="0" applyFont="true" applyBorder="true" applyAlignment="true" applyProtection="true">
      <alignment horizontal="center" vertical="bottom" textRotation="0" wrapText="false" indent="0" shrinkToFit="false"/>
      <protection locked="false" hidden="false"/>
    </xf>
    <xf numFmtId="166" fontId="21" fillId="9" borderId="22" xfId="0" applyFont="true" applyBorder="true" applyAlignment="false" applyProtection="true">
      <alignment horizontal="general" vertical="bottom" textRotation="0" wrapText="false" indent="0" shrinkToFit="false"/>
      <protection locked="true" hidden="true"/>
    </xf>
    <xf numFmtId="166" fontId="21" fillId="9" borderId="25" xfId="0" applyFont="true" applyBorder="true" applyAlignment="true" applyProtection="true">
      <alignment horizontal="left" vertical="bottom" textRotation="0" wrapText="false" indent="0" shrinkToFit="false"/>
      <protection locked="true" hidden="true"/>
    </xf>
    <xf numFmtId="166" fontId="24" fillId="8" borderId="26" xfId="0" applyFont="true" applyBorder="true" applyAlignment="true" applyProtection="true">
      <alignment horizontal="center" vertical="bottom" textRotation="0" wrapText="false" indent="0" shrinkToFit="false"/>
      <protection locked="true" hidden="true"/>
    </xf>
    <xf numFmtId="164" fontId="41" fillId="3" borderId="0" xfId="0" applyFont="true" applyBorder="false" applyAlignment="true" applyProtection="true">
      <alignment horizontal="center" vertical="bottom" textRotation="0" wrapText="false" indent="0" shrinkToFit="false"/>
      <protection locked="true" hidden="true"/>
    </xf>
    <xf numFmtId="167" fontId="29" fillId="9" borderId="0" xfId="0" applyFont="true" applyBorder="false" applyAlignment="true" applyProtection="true">
      <alignment horizontal="center" vertical="center" textRotation="0" wrapText="false" indent="0" shrinkToFit="false"/>
      <protection locked="true" hidden="true"/>
    </xf>
    <xf numFmtId="168" fontId="29" fillId="9" borderId="0" xfId="0" applyFont="true" applyBorder="false" applyAlignment="true" applyProtection="true">
      <alignment horizontal="center" vertical="center" textRotation="0" wrapText="false" indent="0" shrinkToFit="false"/>
      <protection locked="true" hidden="true"/>
    </xf>
    <xf numFmtId="166" fontId="21" fillId="9" borderId="8" xfId="0" applyFont="true" applyBorder="true" applyAlignment="true" applyProtection="true">
      <alignment horizontal="right" vertical="bottom" textRotation="0" wrapText="false" indent="0" shrinkToFit="false"/>
      <protection locked="true" hidden="true"/>
    </xf>
    <xf numFmtId="166" fontId="21" fillId="9" borderId="9" xfId="0" applyFont="true" applyBorder="true" applyAlignment="false" applyProtection="true">
      <alignment horizontal="general" vertical="bottom" textRotation="0" wrapText="false" indent="0" shrinkToFit="false"/>
      <protection locked="true" hidden="true"/>
    </xf>
    <xf numFmtId="164" fontId="21" fillId="9" borderId="10" xfId="0" applyFont="true" applyBorder="true" applyAlignment="true" applyProtection="true">
      <alignment horizontal="center" vertical="bottom" textRotation="0" wrapText="false" indent="0" shrinkToFit="false"/>
      <protection locked="false" hidden="false"/>
    </xf>
    <xf numFmtId="166" fontId="21" fillId="9" borderId="8" xfId="0" applyFont="true" applyBorder="true" applyAlignment="false" applyProtection="true">
      <alignment horizontal="general" vertical="bottom" textRotation="0" wrapText="false" indent="0" shrinkToFit="false"/>
      <protection locked="true" hidden="true"/>
    </xf>
    <xf numFmtId="166" fontId="21" fillId="9" borderId="27" xfId="0" applyFont="true" applyBorder="true" applyAlignment="true" applyProtection="true">
      <alignment horizontal="left" vertical="bottom" textRotation="0" wrapText="false" indent="0" shrinkToFit="false"/>
      <protection locked="true" hidden="true"/>
    </xf>
    <xf numFmtId="164" fontId="24" fillId="8" borderId="28" xfId="0" applyFont="true" applyBorder="true" applyAlignment="true" applyProtection="true">
      <alignment horizontal="center" vertical="center" textRotation="0" wrapText="false" indent="0" shrinkToFit="false"/>
      <protection locked="true" hidden="true"/>
    </xf>
    <xf numFmtId="164" fontId="24" fillId="8" borderId="29" xfId="0" applyFont="true" applyBorder="true" applyAlignment="true" applyProtection="true">
      <alignment horizontal="left" vertical="center" textRotation="0" wrapText="false" indent="0" shrinkToFit="false"/>
      <protection locked="true" hidden="true"/>
    </xf>
    <xf numFmtId="164" fontId="24" fillId="8" borderId="29" xfId="0" applyFont="true" applyBorder="true" applyAlignment="true" applyProtection="true">
      <alignment horizontal="center" vertical="center" textRotation="0" wrapText="false" indent="0" shrinkToFit="false"/>
      <protection locked="true" hidden="true"/>
    </xf>
    <xf numFmtId="164" fontId="24" fillId="8" borderId="30" xfId="0" applyFont="true" applyBorder="true" applyAlignment="true" applyProtection="true">
      <alignment horizontal="center" vertical="center" textRotation="0" wrapText="false" indent="0" shrinkToFit="false"/>
      <protection locked="true" hidden="true"/>
    </xf>
    <xf numFmtId="164" fontId="33" fillId="7" borderId="31" xfId="0" applyFont="true" applyBorder="true" applyAlignment="true" applyProtection="true">
      <alignment horizontal="center" vertical="center" textRotation="0" wrapText="false" indent="0" shrinkToFit="false"/>
      <protection locked="true" hidden="true"/>
    </xf>
    <xf numFmtId="166" fontId="33" fillId="7" borderId="21" xfId="0" applyFont="true" applyBorder="true" applyAlignment="true" applyProtection="true">
      <alignment horizontal="left" vertical="center" textRotation="0" wrapText="false" indent="0" shrinkToFit="false"/>
      <protection locked="true" hidden="true"/>
    </xf>
    <xf numFmtId="166" fontId="33" fillId="7" borderId="21" xfId="0" applyFont="true" applyBorder="true" applyAlignment="true" applyProtection="true">
      <alignment horizontal="center" vertical="center" textRotation="0" wrapText="false" indent="0" shrinkToFit="false"/>
      <protection locked="true" hidden="true"/>
    </xf>
    <xf numFmtId="166" fontId="33" fillId="7" borderId="25" xfId="0" applyFont="true" applyBorder="true" applyAlignment="true" applyProtection="true">
      <alignment horizontal="center" vertical="center" textRotation="0" wrapText="false" indent="0" shrinkToFit="false"/>
      <protection locked="true" hidden="true"/>
    </xf>
    <xf numFmtId="164" fontId="33" fillId="7" borderId="32" xfId="0" applyFont="true" applyBorder="true" applyAlignment="true" applyProtection="true">
      <alignment horizontal="center" vertical="center" textRotation="0" wrapText="false" indent="0" shrinkToFit="false"/>
      <protection locked="true" hidden="true"/>
    </xf>
    <xf numFmtId="166" fontId="33" fillId="7" borderId="27" xfId="0" applyFont="true" applyBorder="true" applyAlignment="true" applyProtection="true">
      <alignment horizontal="center" vertical="center" textRotation="0" wrapText="false" indent="0" shrinkToFit="false"/>
      <protection locked="true" hidden="true"/>
    </xf>
    <xf numFmtId="167" fontId="29" fillId="9" borderId="29" xfId="0" applyFont="true" applyBorder="true" applyAlignment="true" applyProtection="true">
      <alignment horizontal="center" vertical="center" textRotation="0" wrapText="false" indent="0" shrinkToFit="false"/>
      <protection locked="true" hidden="true"/>
    </xf>
    <xf numFmtId="168" fontId="29" fillId="9" borderId="29" xfId="0" applyFont="true" applyBorder="true" applyAlignment="true" applyProtection="true">
      <alignment horizontal="center" vertical="center" textRotation="0" wrapText="false" indent="0" shrinkToFit="false"/>
      <protection locked="true" hidden="true"/>
    </xf>
    <xf numFmtId="166" fontId="21" fillId="9" borderId="33" xfId="0" applyFont="true" applyBorder="true" applyAlignment="true" applyProtection="true">
      <alignment horizontal="right" vertical="bottom" textRotation="0" wrapText="false" indent="0" shrinkToFit="false"/>
      <protection locked="true" hidden="true"/>
    </xf>
    <xf numFmtId="166" fontId="21" fillId="9" borderId="34" xfId="0" applyFont="true" applyBorder="true" applyAlignment="false" applyProtection="true">
      <alignment horizontal="general" vertical="bottom" textRotation="0" wrapText="false" indent="0" shrinkToFit="false"/>
      <protection locked="true" hidden="true"/>
    </xf>
    <xf numFmtId="164" fontId="21" fillId="9" borderId="35" xfId="0" applyFont="true" applyBorder="true" applyAlignment="true" applyProtection="true">
      <alignment horizontal="center" vertical="bottom" textRotation="0" wrapText="false" indent="0" shrinkToFit="false"/>
      <protection locked="false" hidden="false"/>
    </xf>
    <xf numFmtId="166" fontId="21" fillId="9" borderId="33" xfId="0" applyFont="true" applyBorder="true" applyAlignment="false" applyProtection="true">
      <alignment horizontal="general" vertical="bottom" textRotation="0" wrapText="false" indent="0" shrinkToFit="false"/>
      <protection locked="true" hidden="true"/>
    </xf>
    <xf numFmtId="166" fontId="21" fillId="9" borderId="30" xfId="0" applyFont="true" applyBorder="true" applyAlignment="true" applyProtection="true">
      <alignment horizontal="left" vertical="bottom" textRotation="0" wrapText="false" indent="0" shrinkToFit="false"/>
      <protection locked="true" hidden="true"/>
    </xf>
    <xf numFmtId="164" fontId="33" fillId="7" borderId="28" xfId="0" applyFont="true" applyBorder="true" applyAlignment="true" applyProtection="true">
      <alignment horizontal="center" vertical="center" textRotation="0" wrapText="false" indent="0" shrinkToFit="false"/>
      <protection locked="true" hidden="true"/>
    </xf>
    <xf numFmtId="166" fontId="33" fillId="7" borderId="29" xfId="0" applyFont="true" applyBorder="true" applyAlignment="true" applyProtection="true">
      <alignment horizontal="left" vertical="center" textRotation="0" wrapText="false" indent="0" shrinkToFit="false"/>
      <protection locked="true" hidden="true"/>
    </xf>
    <xf numFmtId="166" fontId="33" fillId="7" borderId="29" xfId="0" applyFont="true" applyBorder="true" applyAlignment="true" applyProtection="true">
      <alignment horizontal="center" vertical="center" textRotation="0" wrapText="false" indent="0" shrinkToFit="false"/>
      <protection locked="true" hidden="true"/>
    </xf>
    <xf numFmtId="166" fontId="33" fillId="7" borderId="30" xfId="0" applyFont="true" applyBorder="true" applyAlignment="true" applyProtection="true">
      <alignment horizontal="center" vertical="center" textRotation="0" wrapText="false" indent="0" shrinkToFit="false"/>
      <protection locked="true" hidden="true"/>
    </xf>
    <xf numFmtId="164" fontId="42" fillId="3" borderId="0" xfId="0" applyFont="true" applyBorder="false" applyAlignment="true" applyProtection="true">
      <alignment horizontal="general" vertical="center" textRotation="0" wrapText="false" indent="0" shrinkToFit="false"/>
      <protection locked="true" hidden="true"/>
    </xf>
    <xf numFmtId="164" fontId="43" fillId="3" borderId="0" xfId="0" applyFont="true" applyBorder="false" applyAlignment="true" applyProtection="true">
      <alignment horizontal="center" vertical="bottom" textRotation="0" wrapText="false" indent="0" shrinkToFit="false"/>
      <protection locked="true" hidden="true"/>
    </xf>
    <xf numFmtId="164" fontId="44" fillId="3" borderId="0" xfId="0" applyFont="true" applyBorder="false" applyAlignment="true" applyProtection="true">
      <alignment horizontal="general" vertical="center" textRotation="0" wrapText="false" indent="0" shrinkToFit="false"/>
      <protection locked="true" hidden="true"/>
    </xf>
    <xf numFmtId="164" fontId="36" fillId="3" borderId="0" xfId="0" applyFont="true" applyBorder="false" applyAlignment="true" applyProtection="true">
      <alignment horizontal="center" vertical="center" textRotation="0" wrapText="false" indent="0" shrinkToFit="false"/>
      <protection locked="true" hidden="true"/>
    </xf>
    <xf numFmtId="164" fontId="45" fillId="3" borderId="0" xfId="0" applyFont="true" applyBorder="false" applyAlignment="true" applyProtection="true">
      <alignment horizontal="center" vertical="bottom" textRotation="0" wrapText="false" indent="0" shrinkToFit="false"/>
      <protection locked="true" hidden="true"/>
    </xf>
    <xf numFmtId="167" fontId="28" fillId="10" borderId="36" xfId="0" applyFont="true" applyBorder="true" applyAlignment="true" applyProtection="true">
      <alignment horizontal="center" vertical="center" textRotation="0" wrapText="false" indent="0" shrinkToFit="false"/>
      <protection locked="true" hidden="true"/>
    </xf>
    <xf numFmtId="167" fontId="29" fillId="11" borderId="37" xfId="0" applyFont="true" applyBorder="true" applyAlignment="true" applyProtection="true">
      <alignment horizontal="center" vertical="center" textRotation="0" wrapText="false" indent="0" shrinkToFit="false"/>
      <protection locked="true" hidden="true"/>
    </xf>
    <xf numFmtId="168" fontId="29" fillId="11" borderId="37" xfId="0" applyFont="true" applyBorder="true" applyAlignment="true" applyProtection="true">
      <alignment horizontal="center" vertical="center" textRotation="0" wrapText="false" indent="0" shrinkToFit="false"/>
      <protection locked="true" hidden="true"/>
    </xf>
    <xf numFmtId="166" fontId="21" fillId="11" borderId="38" xfId="0" applyFont="true" applyBorder="true" applyAlignment="true" applyProtection="true">
      <alignment horizontal="right" vertical="bottom" textRotation="0" wrapText="false" indent="0" shrinkToFit="false"/>
      <protection locked="true" hidden="true"/>
    </xf>
    <xf numFmtId="166" fontId="21" fillId="11" borderId="39" xfId="0" applyFont="true" applyBorder="true" applyAlignment="false" applyProtection="true">
      <alignment horizontal="general" vertical="bottom" textRotation="0" wrapText="false" indent="0" shrinkToFit="false"/>
      <protection locked="true" hidden="true"/>
    </xf>
    <xf numFmtId="164" fontId="21" fillId="11" borderId="40" xfId="0" applyFont="true" applyBorder="true" applyAlignment="true" applyProtection="true">
      <alignment horizontal="center" vertical="bottom" textRotation="0" wrapText="false" indent="0" shrinkToFit="false"/>
      <protection locked="false" hidden="false"/>
    </xf>
    <xf numFmtId="166" fontId="21" fillId="11" borderId="38" xfId="0" applyFont="true" applyBorder="true" applyAlignment="false" applyProtection="true">
      <alignment horizontal="general" vertical="bottom" textRotation="0" wrapText="false" indent="0" shrinkToFit="false"/>
      <protection locked="true" hidden="true"/>
    </xf>
    <xf numFmtId="166" fontId="21" fillId="11" borderId="41" xfId="0" applyFont="true" applyBorder="true" applyAlignment="true" applyProtection="true">
      <alignment horizontal="left" vertical="bottom" textRotation="0" wrapText="false" indent="0" shrinkToFit="false"/>
      <protection locked="true" hidden="true"/>
    </xf>
    <xf numFmtId="166" fontId="24" fillId="10" borderId="42" xfId="0" applyFont="true" applyBorder="true" applyAlignment="true" applyProtection="true">
      <alignment horizontal="center" vertical="bottom" textRotation="0" wrapText="false" indent="0" shrinkToFit="false"/>
      <protection locked="true" hidden="true"/>
    </xf>
    <xf numFmtId="167" fontId="29" fillId="11" borderId="0" xfId="0" applyFont="true" applyBorder="false" applyAlignment="true" applyProtection="true">
      <alignment horizontal="center" vertical="center" textRotation="0" wrapText="false" indent="0" shrinkToFit="false"/>
      <protection locked="true" hidden="true"/>
    </xf>
    <xf numFmtId="168" fontId="29" fillId="11" borderId="0" xfId="0" applyFont="true" applyBorder="false" applyAlignment="true" applyProtection="true">
      <alignment horizontal="center" vertical="center" textRotation="0" wrapText="false" indent="0" shrinkToFit="false"/>
      <protection locked="true" hidden="true"/>
    </xf>
    <xf numFmtId="166" fontId="21" fillId="11" borderId="8" xfId="0" applyFont="true" applyBorder="true" applyAlignment="true" applyProtection="true">
      <alignment horizontal="right" vertical="bottom" textRotation="0" wrapText="false" indent="0" shrinkToFit="false"/>
      <protection locked="true" hidden="true"/>
    </xf>
    <xf numFmtId="166" fontId="21" fillId="11" borderId="9" xfId="0" applyFont="true" applyBorder="true" applyAlignment="false" applyProtection="true">
      <alignment horizontal="general" vertical="bottom" textRotation="0" wrapText="false" indent="0" shrinkToFit="false"/>
      <protection locked="true" hidden="true"/>
    </xf>
    <xf numFmtId="164" fontId="21" fillId="11" borderId="10" xfId="0" applyFont="true" applyBorder="true" applyAlignment="true" applyProtection="true">
      <alignment horizontal="center" vertical="bottom" textRotation="0" wrapText="false" indent="0" shrinkToFit="false"/>
      <protection locked="false" hidden="false"/>
    </xf>
    <xf numFmtId="166" fontId="21" fillId="11" borderId="8" xfId="0" applyFont="true" applyBorder="true" applyAlignment="false" applyProtection="true">
      <alignment horizontal="general" vertical="bottom" textRotation="0" wrapText="false" indent="0" shrinkToFit="false"/>
      <protection locked="true" hidden="true"/>
    </xf>
    <xf numFmtId="166" fontId="21" fillId="11" borderId="43" xfId="0" applyFont="true" applyBorder="true" applyAlignment="true" applyProtection="true">
      <alignment horizontal="left" vertical="bottom" textRotation="0" wrapText="false" indent="0" shrinkToFit="false"/>
      <protection locked="true" hidden="true"/>
    </xf>
    <xf numFmtId="164" fontId="24" fillId="10" borderId="44" xfId="0" applyFont="true" applyBorder="true" applyAlignment="true" applyProtection="true">
      <alignment horizontal="center" vertical="center" textRotation="0" wrapText="false" indent="0" shrinkToFit="false"/>
      <protection locked="true" hidden="true"/>
    </xf>
    <xf numFmtId="164" fontId="24" fillId="10" borderId="45" xfId="0" applyFont="true" applyBorder="true" applyAlignment="true" applyProtection="true">
      <alignment horizontal="left" vertical="center" textRotation="0" wrapText="false" indent="0" shrinkToFit="false"/>
      <protection locked="true" hidden="true"/>
    </xf>
    <xf numFmtId="164" fontId="24" fillId="10" borderId="45" xfId="0" applyFont="true" applyBorder="true" applyAlignment="true" applyProtection="true">
      <alignment horizontal="center" vertical="center" textRotation="0" wrapText="false" indent="0" shrinkToFit="false"/>
      <protection locked="true" hidden="true"/>
    </xf>
    <xf numFmtId="164" fontId="24" fillId="10" borderId="46" xfId="0" applyFont="true" applyBorder="true" applyAlignment="true" applyProtection="true">
      <alignment horizontal="center" vertical="center" textRotation="0" wrapText="false" indent="0" shrinkToFit="false"/>
      <protection locked="true" hidden="true"/>
    </xf>
    <xf numFmtId="164" fontId="33" fillId="7" borderId="47" xfId="0" applyFont="true" applyBorder="true" applyAlignment="true" applyProtection="true">
      <alignment horizontal="center" vertical="center" textRotation="0" wrapText="false" indent="0" shrinkToFit="false"/>
      <protection locked="true" hidden="true"/>
    </xf>
    <xf numFmtId="166" fontId="33" fillId="7" borderId="37" xfId="0" applyFont="true" applyBorder="true" applyAlignment="true" applyProtection="true">
      <alignment horizontal="left" vertical="center" textRotation="0" wrapText="false" indent="0" shrinkToFit="false"/>
      <protection locked="true" hidden="true"/>
    </xf>
    <xf numFmtId="166" fontId="33" fillId="7" borderId="37" xfId="0" applyFont="true" applyBorder="true" applyAlignment="true" applyProtection="true">
      <alignment horizontal="center" vertical="center" textRotation="0" wrapText="false" indent="0" shrinkToFit="false"/>
      <protection locked="true" hidden="true"/>
    </xf>
    <xf numFmtId="166" fontId="33" fillId="7" borderId="41" xfId="0" applyFont="true" applyBorder="true" applyAlignment="true" applyProtection="true">
      <alignment horizontal="center" vertical="center" textRotation="0" wrapText="false" indent="0" shrinkToFit="false"/>
      <protection locked="true" hidden="true"/>
    </xf>
    <xf numFmtId="164" fontId="33" fillId="7" borderId="48" xfId="0" applyFont="true" applyBorder="true" applyAlignment="true" applyProtection="true">
      <alignment horizontal="center" vertical="center" textRotation="0" wrapText="false" indent="0" shrinkToFit="false"/>
      <protection locked="true" hidden="true"/>
    </xf>
    <xf numFmtId="166" fontId="33" fillId="7" borderId="43" xfId="0" applyFont="true" applyBorder="true" applyAlignment="true" applyProtection="true">
      <alignment horizontal="center" vertical="center" textRotation="0" wrapText="false" indent="0" shrinkToFit="false"/>
      <protection locked="true" hidden="true"/>
    </xf>
    <xf numFmtId="167" fontId="29" fillId="11" borderId="45" xfId="0" applyFont="true" applyBorder="true" applyAlignment="true" applyProtection="true">
      <alignment horizontal="center" vertical="center" textRotation="0" wrapText="false" indent="0" shrinkToFit="false"/>
      <protection locked="true" hidden="true"/>
    </xf>
    <xf numFmtId="168" fontId="29" fillId="11" borderId="45" xfId="0" applyFont="true" applyBorder="true" applyAlignment="true" applyProtection="true">
      <alignment horizontal="center" vertical="center" textRotation="0" wrapText="false" indent="0" shrinkToFit="false"/>
      <protection locked="true" hidden="true"/>
    </xf>
    <xf numFmtId="166" fontId="21" fillId="11" borderId="49" xfId="0" applyFont="true" applyBorder="true" applyAlignment="true" applyProtection="true">
      <alignment horizontal="right" vertical="bottom" textRotation="0" wrapText="false" indent="0" shrinkToFit="false"/>
      <protection locked="true" hidden="true"/>
    </xf>
    <xf numFmtId="166" fontId="21" fillId="11" borderId="50" xfId="0" applyFont="true" applyBorder="true" applyAlignment="false" applyProtection="true">
      <alignment horizontal="general" vertical="bottom" textRotation="0" wrapText="false" indent="0" shrinkToFit="false"/>
      <protection locked="true" hidden="true"/>
    </xf>
    <xf numFmtId="164" fontId="21" fillId="11" borderId="51" xfId="0" applyFont="true" applyBorder="true" applyAlignment="true" applyProtection="true">
      <alignment horizontal="center" vertical="bottom" textRotation="0" wrapText="false" indent="0" shrinkToFit="false"/>
      <protection locked="false" hidden="false"/>
    </xf>
    <xf numFmtId="166" fontId="21" fillId="11" borderId="49" xfId="0" applyFont="true" applyBorder="true" applyAlignment="false" applyProtection="true">
      <alignment horizontal="general" vertical="bottom" textRotation="0" wrapText="false" indent="0" shrinkToFit="false"/>
      <protection locked="true" hidden="true"/>
    </xf>
    <xf numFmtId="166" fontId="21" fillId="11" borderId="46" xfId="0" applyFont="true" applyBorder="true" applyAlignment="true" applyProtection="true">
      <alignment horizontal="left" vertical="bottom" textRotation="0" wrapText="false" indent="0" shrinkToFit="false"/>
      <protection locked="true" hidden="true"/>
    </xf>
    <xf numFmtId="164" fontId="33" fillId="7" borderId="44" xfId="0" applyFont="true" applyBorder="true" applyAlignment="true" applyProtection="true">
      <alignment horizontal="center" vertical="center" textRotation="0" wrapText="false" indent="0" shrinkToFit="false"/>
      <protection locked="true" hidden="true"/>
    </xf>
    <xf numFmtId="166" fontId="33" fillId="7" borderId="45" xfId="0" applyFont="true" applyBorder="true" applyAlignment="true" applyProtection="true">
      <alignment horizontal="left" vertical="center" textRotation="0" wrapText="false" indent="0" shrinkToFit="false"/>
      <protection locked="true" hidden="true"/>
    </xf>
    <xf numFmtId="166" fontId="33" fillId="7" borderId="45" xfId="0" applyFont="true" applyBorder="true" applyAlignment="true" applyProtection="true">
      <alignment horizontal="center" vertical="center" textRotation="0" wrapText="false" indent="0" shrinkToFit="false"/>
      <protection locked="true" hidden="true"/>
    </xf>
    <xf numFmtId="166" fontId="33" fillId="7" borderId="46" xfId="0" applyFont="true" applyBorder="true" applyAlignment="true" applyProtection="true">
      <alignment horizontal="center" vertical="center" textRotation="0" wrapText="false" indent="0" shrinkToFit="false"/>
      <protection locked="true" hidden="true"/>
    </xf>
    <xf numFmtId="167" fontId="28" fillId="12" borderId="52" xfId="0" applyFont="true" applyBorder="true" applyAlignment="true" applyProtection="true">
      <alignment horizontal="center" vertical="center" textRotation="0" wrapText="false" indent="0" shrinkToFit="false"/>
      <protection locked="true" hidden="true"/>
    </xf>
    <xf numFmtId="167" fontId="29" fillId="13" borderId="53" xfId="0" applyFont="true" applyBorder="true" applyAlignment="true" applyProtection="true">
      <alignment horizontal="center" vertical="center" textRotation="0" wrapText="false" indent="0" shrinkToFit="false"/>
      <protection locked="true" hidden="true"/>
    </xf>
    <xf numFmtId="168" fontId="29" fillId="13" borderId="53" xfId="0" applyFont="true" applyBorder="true" applyAlignment="true" applyProtection="true">
      <alignment horizontal="center" vertical="center" textRotation="0" wrapText="false" indent="0" shrinkToFit="false"/>
      <protection locked="true" hidden="true"/>
    </xf>
    <xf numFmtId="166" fontId="21" fillId="13" borderId="54" xfId="0" applyFont="true" applyBorder="true" applyAlignment="true" applyProtection="true">
      <alignment horizontal="right" vertical="bottom" textRotation="0" wrapText="false" indent="0" shrinkToFit="false"/>
      <protection locked="true" hidden="true"/>
    </xf>
    <xf numFmtId="166" fontId="21" fillId="13" borderId="55" xfId="0" applyFont="true" applyBorder="true" applyAlignment="false" applyProtection="true">
      <alignment horizontal="general" vertical="bottom" textRotation="0" wrapText="false" indent="0" shrinkToFit="false"/>
      <protection locked="true" hidden="true"/>
    </xf>
    <xf numFmtId="164" fontId="21" fillId="13" borderId="56" xfId="0" applyFont="true" applyBorder="true" applyAlignment="true" applyProtection="true">
      <alignment horizontal="center" vertical="bottom" textRotation="0" wrapText="false" indent="0" shrinkToFit="false"/>
      <protection locked="false" hidden="false"/>
    </xf>
    <xf numFmtId="166" fontId="21" fillId="13" borderId="54" xfId="0" applyFont="true" applyBorder="true" applyAlignment="false" applyProtection="true">
      <alignment horizontal="general" vertical="bottom" textRotation="0" wrapText="false" indent="0" shrinkToFit="false"/>
      <protection locked="true" hidden="true"/>
    </xf>
    <xf numFmtId="166" fontId="21" fillId="13" borderId="57" xfId="0" applyFont="true" applyBorder="true" applyAlignment="true" applyProtection="true">
      <alignment horizontal="left" vertical="bottom" textRotation="0" wrapText="false" indent="0" shrinkToFit="false"/>
      <protection locked="true" hidden="true"/>
    </xf>
    <xf numFmtId="166" fontId="24" fillId="12" borderId="58" xfId="0" applyFont="true" applyBorder="true" applyAlignment="true" applyProtection="true">
      <alignment horizontal="center" vertical="bottom" textRotation="0" wrapText="false" indent="0" shrinkToFit="false"/>
      <protection locked="true" hidden="true"/>
    </xf>
    <xf numFmtId="167" fontId="29" fillId="13" borderId="0" xfId="0" applyFont="true" applyBorder="false" applyAlignment="true" applyProtection="true">
      <alignment horizontal="center" vertical="center" textRotation="0" wrapText="false" indent="0" shrinkToFit="false"/>
      <protection locked="true" hidden="true"/>
    </xf>
    <xf numFmtId="168" fontId="29" fillId="13" borderId="0" xfId="0" applyFont="true" applyBorder="false" applyAlignment="true" applyProtection="true">
      <alignment horizontal="center" vertical="center" textRotation="0" wrapText="false" indent="0" shrinkToFit="false"/>
      <protection locked="true" hidden="true"/>
    </xf>
    <xf numFmtId="166" fontId="21" fillId="13" borderId="8" xfId="0" applyFont="true" applyBorder="true" applyAlignment="true" applyProtection="true">
      <alignment horizontal="right" vertical="bottom" textRotation="0" wrapText="false" indent="0" shrinkToFit="false"/>
      <protection locked="true" hidden="true"/>
    </xf>
    <xf numFmtId="166" fontId="21" fillId="13" borderId="9" xfId="0" applyFont="true" applyBorder="true" applyAlignment="false" applyProtection="true">
      <alignment horizontal="general" vertical="bottom" textRotation="0" wrapText="false" indent="0" shrinkToFit="false"/>
      <protection locked="true" hidden="true"/>
    </xf>
    <xf numFmtId="164" fontId="21" fillId="13" borderId="10" xfId="0" applyFont="true" applyBorder="true" applyAlignment="true" applyProtection="true">
      <alignment horizontal="center" vertical="bottom" textRotation="0" wrapText="false" indent="0" shrinkToFit="false"/>
      <protection locked="false" hidden="false"/>
    </xf>
    <xf numFmtId="166" fontId="21" fillId="13" borderId="8" xfId="0" applyFont="true" applyBorder="true" applyAlignment="false" applyProtection="true">
      <alignment horizontal="general" vertical="bottom" textRotation="0" wrapText="false" indent="0" shrinkToFit="false"/>
      <protection locked="true" hidden="true"/>
    </xf>
    <xf numFmtId="166" fontId="21" fillId="13" borderId="59" xfId="0" applyFont="true" applyBorder="true" applyAlignment="true" applyProtection="true">
      <alignment horizontal="left" vertical="bottom" textRotation="0" wrapText="false" indent="0" shrinkToFit="false"/>
      <protection locked="true" hidden="true"/>
    </xf>
    <xf numFmtId="164" fontId="24" fillId="12" borderId="60" xfId="0" applyFont="true" applyBorder="true" applyAlignment="true" applyProtection="true">
      <alignment horizontal="center" vertical="center" textRotation="0" wrapText="false" indent="0" shrinkToFit="false"/>
      <protection locked="true" hidden="true"/>
    </xf>
    <xf numFmtId="164" fontId="24" fillId="12" borderId="0" xfId="0" applyFont="true" applyBorder="false" applyAlignment="true" applyProtection="true">
      <alignment horizontal="left" vertical="center" textRotation="0" wrapText="false" indent="0" shrinkToFit="false"/>
      <protection locked="true" hidden="true"/>
    </xf>
    <xf numFmtId="164" fontId="24" fillId="12" borderId="0" xfId="0" applyFont="true" applyBorder="false" applyAlignment="true" applyProtection="true">
      <alignment horizontal="center" vertical="center" textRotation="0" wrapText="false" indent="0" shrinkToFit="false"/>
      <protection locked="true" hidden="true"/>
    </xf>
    <xf numFmtId="164" fontId="24" fillId="12" borderId="59" xfId="0" applyFont="true" applyBorder="true" applyAlignment="true" applyProtection="true">
      <alignment horizontal="center" vertical="center" textRotation="0" wrapText="false" indent="0" shrinkToFit="false"/>
      <protection locked="true" hidden="true"/>
    </xf>
    <xf numFmtId="164" fontId="33" fillId="7" borderId="61" xfId="0" applyFont="true" applyBorder="true" applyAlignment="true" applyProtection="true">
      <alignment horizontal="center" vertical="center" textRotation="0" wrapText="false" indent="0" shrinkToFit="false"/>
      <protection locked="true" hidden="true"/>
    </xf>
    <xf numFmtId="166" fontId="33" fillId="7" borderId="53" xfId="0" applyFont="true" applyBorder="true" applyAlignment="true" applyProtection="true">
      <alignment horizontal="left" vertical="center" textRotation="0" wrapText="false" indent="0" shrinkToFit="false"/>
      <protection locked="true" hidden="true"/>
    </xf>
    <xf numFmtId="166" fontId="33" fillId="7" borderId="53" xfId="0" applyFont="true" applyBorder="true" applyAlignment="true" applyProtection="true">
      <alignment horizontal="center" vertical="center" textRotation="0" wrapText="false" indent="0" shrinkToFit="false"/>
      <protection locked="true" hidden="true"/>
    </xf>
    <xf numFmtId="166" fontId="33" fillId="7" borderId="57" xfId="0" applyFont="true" applyBorder="true" applyAlignment="true" applyProtection="true">
      <alignment horizontal="center" vertical="center" textRotation="0" wrapText="false" indent="0" shrinkToFit="false"/>
      <protection locked="true" hidden="true"/>
    </xf>
    <xf numFmtId="164" fontId="33" fillId="7" borderId="60" xfId="0" applyFont="true" applyBorder="true" applyAlignment="true" applyProtection="true">
      <alignment horizontal="center" vertical="center" textRotation="0" wrapText="false" indent="0" shrinkToFit="false"/>
      <protection locked="true" hidden="true"/>
    </xf>
    <xf numFmtId="166" fontId="33" fillId="7" borderId="59" xfId="0" applyFont="true" applyBorder="true" applyAlignment="true" applyProtection="true">
      <alignment horizontal="center" vertical="center" textRotation="0" wrapText="false" indent="0" shrinkToFit="false"/>
      <protection locked="true" hidden="true"/>
    </xf>
    <xf numFmtId="167" fontId="29" fillId="13" borderId="62" xfId="0" applyFont="true" applyBorder="true" applyAlignment="true" applyProtection="true">
      <alignment horizontal="center" vertical="center" textRotation="0" wrapText="false" indent="0" shrinkToFit="false"/>
      <protection locked="true" hidden="true"/>
    </xf>
    <xf numFmtId="168" fontId="29" fillId="13" borderId="62" xfId="0" applyFont="true" applyBorder="true" applyAlignment="true" applyProtection="true">
      <alignment horizontal="center" vertical="center" textRotation="0" wrapText="false" indent="0" shrinkToFit="false"/>
      <protection locked="true" hidden="true"/>
    </xf>
    <xf numFmtId="166" fontId="21" fillId="13" borderId="63" xfId="0" applyFont="true" applyBorder="true" applyAlignment="true" applyProtection="true">
      <alignment horizontal="right" vertical="bottom" textRotation="0" wrapText="false" indent="0" shrinkToFit="false"/>
      <protection locked="true" hidden="true"/>
    </xf>
    <xf numFmtId="166" fontId="21" fillId="13" borderId="64" xfId="0" applyFont="true" applyBorder="true" applyAlignment="false" applyProtection="true">
      <alignment horizontal="general" vertical="bottom" textRotation="0" wrapText="false" indent="0" shrinkToFit="false"/>
      <protection locked="true" hidden="true"/>
    </xf>
    <xf numFmtId="164" fontId="21" fillId="13" borderId="65" xfId="0" applyFont="true" applyBorder="true" applyAlignment="true" applyProtection="true">
      <alignment horizontal="center" vertical="bottom" textRotation="0" wrapText="false" indent="0" shrinkToFit="false"/>
      <protection locked="false" hidden="false"/>
    </xf>
    <xf numFmtId="166" fontId="21" fillId="13" borderId="63" xfId="0" applyFont="true" applyBorder="true" applyAlignment="false" applyProtection="true">
      <alignment horizontal="general" vertical="bottom" textRotation="0" wrapText="false" indent="0" shrinkToFit="false"/>
      <protection locked="true" hidden="true"/>
    </xf>
    <xf numFmtId="166" fontId="21" fillId="13" borderId="66" xfId="0" applyFont="true" applyBorder="true" applyAlignment="true" applyProtection="true">
      <alignment horizontal="left" vertical="bottom" textRotation="0" wrapText="false" indent="0" shrinkToFit="false"/>
      <protection locked="true" hidden="true"/>
    </xf>
    <xf numFmtId="164" fontId="33" fillId="7" borderId="67" xfId="0" applyFont="true" applyBorder="true" applyAlignment="true" applyProtection="true">
      <alignment horizontal="center" vertical="center" textRotation="0" wrapText="false" indent="0" shrinkToFit="false"/>
      <protection locked="true" hidden="true"/>
    </xf>
    <xf numFmtId="166" fontId="33" fillId="7" borderId="62" xfId="0" applyFont="true" applyBorder="true" applyAlignment="true" applyProtection="true">
      <alignment horizontal="left" vertical="center" textRotation="0" wrapText="false" indent="0" shrinkToFit="false"/>
      <protection locked="true" hidden="true"/>
    </xf>
    <xf numFmtId="166" fontId="33" fillId="7" borderId="62" xfId="0" applyFont="true" applyBorder="true" applyAlignment="true" applyProtection="true">
      <alignment horizontal="center" vertical="center" textRotation="0" wrapText="false" indent="0" shrinkToFit="false"/>
      <protection locked="true" hidden="true"/>
    </xf>
    <xf numFmtId="166" fontId="33" fillId="7" borderId="66" xfId="0" applyFont="true" applyBorder="true" applyAlignment="true" applyProtection="true">
      <alignment horizontal="center" vertical="center" textRotation="0" wrapText="false" indent="0" shrinkToFit="false"/>
      <protection locked="true" hidden="true"/>
    </xf>
    <xf numFmtId="167" fontId="28" fillId="14" borderId="68" xfId="0" applyFont="true" applyBorder="true" applyAlignment="true" applyProtection="true">
      <alignment horizontal="center" vertical="center" textRotation="0" wrapText="false" indent="0" shrinkToFit="false"/>
      <protection locked="true" hidden="true"/>
    </xf>
    <xf numFmtId="167" fontId="29" fillId="15" borderId="69" xfId="0" applyFont="true" applyBorder="true" applyAlignment="true" applyProtection="true">
      <alignment horizontal="center" vertical="center" textRotation="0" wrapText="false" indent="0" shrinkToFit="false"/>
      <protection locked="true" hidden="true"/>
    </xf>
    <xf numFmtId="168" fontId="29" fillId="15" borderId="69" xfId="0" applyFont="true" applyBorder="true" applyAlignment="true" applyProtection="true">
      <alignment horizontal="center" vertical="center" textRotation="0" wrapText="false" indent="0" shrinkToFit="false"/>
      <protection locked="true" hidden="true"/>
    </xf>
    <xf numFmtId="166" fontId="21" fillId="15" borderId="70" xfId="0" applyFont="true" applyBorder="true" applyAlignment="true" applyProtection="true">
      <alignment horizontal="right" vertical="bottom" textRotation="0" wrapText="false" indent="0" shrinkToFit="false"/>
      <protection locked="true" hidden="true"/>
    </xf>
    <xf numFmtId="166" fontId="21" fillId="15" borderId="71" xfId="0" applyFont="true" applyBorder="true" applyAlignment="false" applyProtection="true">
      <alignment horizontal="general" vertical="bottom" textRotation="0" wrapText="false" indent="0" shrinkToFit="false"/>
      <protection locked="true" hidden="true"/>
    </xf>
    <xf numFmtId="164" fontId="21" fillId="15" borderId="72" xfId="0" applyFont="true" applyBorder="true" applyAlignment="true" applyProtection="true">
      <alignment horizontal="center" vertical="bottom" textRotation="0" wrapText="false" indent="0" shrinkToFit="false"/>
      <protection locked="false" hidden="false"/>
    </xf>
    <xf numFmtId="166" fontId="21" fillId="15" borderId="70" xfId="0" applyFont="true" applyBorder="true" applyAlignment="false" applyProtection="true">
      <alignment horizontal="general" vertical="bottom" textRotation="0" wrapText="false" indent="0" shrinkToFit="false"/>
      <protection locked="true" hidden="true"/>
    </xf>
    <xf numFmtId="166" fontId="21" fillId="15" borderId="73" xfId="0" applyFont="true" applyBorder="true" applyAlignment="true" applyProtection="true">
      <alignment horizontal="left" vertical="bottom" textRotation="0" wrapText="false" indent="0" shrinkToFit="false"/>
      <protection locked="true" hidden="true"/>
    </xf>
    <xf numFmtId="166" fontId="24" fillId="14" borderId="74" xfId="0" applyFont="true" applyBorder="true" applyAlignment="true" applyProtection="true">
      <alignment horizontal="center" vertical="bottom" textRotation="0" wrapText="false" indent="0" shrinkToFit="false"/>
      <protection locked="true" hidden="true"/>
    </xf>
    <xf numFmtId="167" fontId="29" fillId="15" borderId="0" xfId="0" applyFont="true" applyBorder="false" applyAlignment="true" applyProtection="true">
      <alignment horizontal="center" vertical="center" textRotation="0" wrapText="false" indent="0" shrinkToFit="false"/>
      <protection locked="true" hidden="true"/>
    </xf>
    <xf numFmtId="168" fontId="29" fillId="15" borderId="0" xfId="0" applyFont="true" applyBorder="false" applyAlignment="true" applyProtection="true">
      <alignment horizontal="center" vertical="center" textRotation="0" wrapText="false" indent="0" shrinkToFit="false"/>
      <protection locked="true" hidden="true"/>
    </xf>
    <xf numFmtId="166" fontId="21" fillId="15" borderId="8" xfId="0" applyFont="true" applyBorder="true" applyAlignment="true" applyProtection="true">
      <alignment horizontal="right" vertical="bottom" textRotation="0" wrapText="false" indent="0" shrinkToFit="false"/>
      <protection locked="true" hidden="true"/>
    </xf>
    <xf numFmtId="166" fontId="21" fillId="15" borderId="9" xfId="0" applyFont="true" applyBorder="true" applyAlignment="false" applyProtection="true">
      <alignment horizontal="general" vertical="bottom" textRotation="0" wrapText="false" indent="0" shrinkToFit="false"/>
      <protection locked="true" hidden="true"/>
    </xf>
    <xf numFmtId="164" fontId="21" fillId="15" borderId="10" xfId="0" applyFont="true" applyBorder="true" applyAlignment="true" applyProtection="true">
      <alignment horizontal="center" vertical="bottom" textRotation="0" wrapText="false" indent="0" shrinkToFit="false"/>
      <protection locked="false" hidden="false"/>
    </xf>
    <xf numFmtId="166" fontId="21" fillId="15" borderId="8" xfId="0" applyFont="true" applyBorder="true" applyAlignment="false" applyProtection="true">
      <alignment horizontal="general" vertical="bottom" textRotation="0" wrapText="false" indent="0" shrinkToFit="false"/>
      <protection locked="true" hidden="true"/>
    </xf>
    <xf numFmtId="166" fontId="21" fillId="15" borderId="75" xfId="0" applyFont="true" applyBorder="true" applyAlignment="true" applyProtection="true">
      <alignment horizontal="left" vertical="bottom" textRotation="0" wrapText="false" indent="0" shrinkToFit="false"/>
      <protection locked="true" hidden="true"/>
    </xf>
    <xf numFmtId="164" fontId="24" fillId="14" borderId="76" xfId="0" applyFont="true" applyBorder="true" applyAlignment="true" applyProtection="true">
      <alignment horizontal="center" vertical="center" textRotation="0" wrapText="false" indent="0" shrinkToFit="false"/>
      <protection locked="true" hidden="true"/>
    </xf>
    <xf numFmtId="164" fontId="24" fillId="14" borderId="0" xfId="0" applyFont="true" applyBorder="false" applyAlignment="true" applyProtection="true">
      <alignment horizontal="left" vertical="center" textRotation="0" wrapText="false" indent="0" shrinkToFit="false"/>
      <protection locked="true" hidden="true"/>
    </xf>
    <xf numFmtId="164" fontId="24" fillId="14" borderId="0" xfId="0" applyFont="true" applyBorder="false" applyAlignment="true" applyProtection="true">
      <alignment horizontal="center" vertical="center" textRotation="0" wrapText="false" indent="0" shrinkToFit="false"/>
      <protection locked="true" hidden="true"/>
    </xf>
    <xf numFmtId="164" fontId="24" fillId="14" borderId="75" xfId="0" applyFont="true" applyBorder="true" applyAlignment="true" applyProtection="true">
      <alignment horizontal="center" vertical="center" textRotation="0" wrapText="false" indent="0" shrinkToFit="false"/>
      <protection locked="true" hidden="true"/>
    </xf>
    <xf numFmtId="164" fontId="33" fillId="7" borderId="77" xfId="0" applyFont="true" applyBorder="true" applyAlignment="true" applyProtection="true">
      <alignment horizontal="center" vertical="center" textRotation="0" wrapText="false" indent="0" shrinkToFit="false"/>
      <protection locked="true" hidden="true"/>
    </xf>
    <xf numFmtId="166" fontId="33" fillId="7" borderId="69" xfId="0" applyFont="true" applyBorder="true" applyAlignment="true" applyProtection="true">
      <alignment horizontal="left" vertical="center" textRotation="0" wrapText="false" indent="0" shrinkToFit="false"/>
      <protection locked="true" hidden="true"/>
    </xf>
    <xf numFmtId="166" fontId="33" fillId="7" borderId="69" xfId="0" applyFont="true" applyBorder="true" applyAlignment="true" applyProtection="true">
      <alignment horizontal="center" vertical="center" textRotation="0" wrapText="false" indent="0" shrinkToFit="false"/>
      <protection locked="true" hidden="true"/>
    </xf>
    <xf numFmtId="166" fontId="33" fillId="7" borderId="73" xfId="0" applyFont="true" applyBorder="true" applyAlignment="true" applyProtection="true">
      <alignment horizontal="center" vertical="center" textRotation="0" wrapText="false" indent="0" shrinkToFit="false"/>
      <protection locked="true" hidden="true"/>
    </xf>
    <xf numFmtId="164" fontId="33" fillId="7" borderId="76" xfId="0" applyFont="true" applyBorder="true" applyAlignment="true" applyProtection="true">
      <alignment horizontal="center" vertical="center" textRotation="0" wrapText="false" indent="0" shrinkToFit="false"/>
      <protection locked="true" hidden="true"/>
    </xf>
    <xf numFmtId="166" fontId="33" fillId="7" borderId="75" xfId="0" applyFont="true" applyBorder="true" applyAlignment="true" applyProtection="true">
      <alignment horizontal="center" vertical="center" textRotation="0" wrapText="false" indent="0" shrinkToFit="false"/>
      <protection locked="true" hidden="true"/>
    </xf>
    <xf numFmtId="167" fontId="29" fillId="15" borderId="78" xfId="0" applyFont="true" applyBorder="true" applyAlignment="true" applyProtection="true">
      <alignment horizontal="center" vertical="center" textRotation="0" wrapText="false" indent="0" shrinkToFit="false"/>
      <protection locked="true" hidden="true"/>
    </xf>
    <xf numFmtId="168" fontId="29" fillId="15" borderId="78" xfId="0" applyFont="true" applyBorder="true" applyAlignment="true" applyProtection="true">
      <alignment horizontal="center" vertical="center" textRotation="0" wrapText="false" indent="0" shrinkToFit="false"/>
      <protection locked="true" hidden="true"/>
    </xf>
    <xf numFmtId="166" fontId="21" fillId="15" borderId="79" xfId="0" applyFont="true" applyBorder="true" applyAlignment="true" applyProtection="true">
      <alignment horizontal="right" vertical="bottom" textRotation="0" wrapText="false" indent="0" shrinkToFit="false"/>
      <protection locked="true" hidden="true"/>
    </xf>
    <xf numFmtId="166" fontId="21" fillId="15" borderId="80" xfId="0" applyFont="true" applyBorder="true" applyAlignment="false" applyProtection="true">
      <alignment horizontal="general" vertical="bottom" textRotation="0" wrapText="false" indent="0" shrinkToFit="false"/>
      <protection locked="true" hidden="true"/>
    </xf>
    <xf numFmtId="164" fontId="21" fillId="15" borderId="81" xfId="0" applyFont="true" applyBorder="true" applyAlignment="true" applyProtection="true">
      <alignment horizontal="center" vertical="bottom" textRotation="0" wrapText="false" indent="0" shrinkToFit="false"/>
      <protection locked="false" hidden="false"/>
    </xf>
    <xf numFmtId="166" fontId="21" fillId="15" borderId="79" xfId="0" applyFont="true" applyBorder="true" applyAlignment="false" applyProtection="true">
      <alignment horizontal="general" vertical="bottom" textRotation="0" wrapText="false" indent="0" shrinkToFit="false"/>
      <protection locked="true" hidden="true"/>
    </xf>
    <xf numFmtId="166" fontId="21" fillId="15" borderId="82" xfId="0" applyFont="true" applyBorder="true" applyAlignment="true" applyProtection="true">
      <alignment horizontal="left" vertical="bottom" textRotation="0" wrapText="false" indent="0" shrinkToFit="false"/>
      <protection locked="true" hidden="true"/>
    </xf>
    <xf numFmtId="164" fontId="33" fillId="7" borderId="83" xfId="0" applyFont="true" applyBorder="true" applyAlignment="true" applyProtection="true">
      <alignment horizontal="center" vertical="center" textRotation="0" wrapText="false" indent="0" shrinkToFit="false"/>
      <protection locked="true" hidden="true"/>
    </xf>
    <xf numFmtId="166" fontId="33" fillId="7" borderId="78" xfId="0" applyFont="true" applyBorder="true" applyAlignment="true" applyProtection="true">
      <alignment horizontal="left" vertical="center" textRotation="0" wrapText="false" indent="0" shrinkToFit="false"/>
      <protection locked="true" hidden="true"/>
    </xf>
    <xf numFmtId="166" fontId="33" fillId="7" borderId="78" xfId="0" applyFont="true" applyBorder="true" applyAlignment="true" applyProtection="true">
      <alignment horizontal="center" vertical="center" textRotation="0" wrapText="false" indent="0" shrinkToFit="false"/>
      <protection locked="true" hidden="true"/>
    </xf>
    <xf numFmtId="166" fontId="33" fillId="7" borderId="82" xfId="0" applyFont="true" applyBorder="true" applyAlignment="true" applyProtection="true">
      <alignment horizontal="center" vertical="center" textRotation="0" wrapText="false" indent="0" shrinkToFit="false"/>
      <protection locked="true" hidden="true"/>
    </xf>
    <xf numFmtId="167" fontId="28" fillId="16" borderId="84" xfId="0" applyFont="true" applyBorder="true" applyAlignment="true" applyProtection="true">
      <alignment horizontal="center" vertical="center" textRotation="0" wrapText="false" indent="0" shrinkToFit="false"/>
      <protection locked="true" hidden="true"/>
    </xf>
    <xf numFmtId="167" fontId="29" fillId="17" borderId="85" xfId="0" applyFont="true" applyBorder="true" applyAlignment="true" applyProtection="true">
      <alignment horizontal="center" vertical="center" textRotation="0" wrapText="false" indent="0" shrinkToFit="false"/>
      <protection locked="true" hidden="true"/>
    </xf>
    <xf numFmtId="168" fontId="29" fillId="17" borderId="85" xfId="0" applyFont="true" applyBorder="true" applyAlignment="true" applyProtection="true">
      <alignment horizontal="center" vertical="center" textRotation="0" wrapText="false" indent="0" shrinkToFit="false"/>
      <protection locked="true" hidden="true"/>
    </xf>
    <xf numFmtId="166" fontId="21" fillId="17" borderId="86" xfId="0" applyFont="true" applyBorder="true" applyAlignment="true" applyProtection="true">
      <alignment horizontal="right" vertical="bottom" textRotation="0" wrapText="false" indent="0" shrinkToFit="false"/>
      <protection locked="true" hidden="true"/>
    </xf>
    <xf numFmtId="166" fontId="21" fillId="17" borderId="87" xfId="0" applyFont="true" applyBorder="true" applyAlignment="false" applyProtection="true">
      <alignment horizontal="general" vertical="bottom" textRotation="0" wrapText="false" indent="0" shrinkToFit="false"/>
      <protection locked="true" hidden="true"/>
    </xf>
    <xf numFmtId="164" fontId="21" fillId="17" borderId="88" xfId="0" applyFont="true" applyBorder="true" applyAlignment="true" applyProtection="true">
      <alignment horizontal="center" vertical="bottom" textRotation="0" wrapText="false" indent="0" shrinkToFit="false"/>
      <protection locked="false" hidden="false"/>
    </xf>
    <xf numFmtId="166" fontId="21" fillId="17" borderId="86" xfId="0" applyFont="true" applyBorder="true" applyAlignment="false" applyProtection="true">
      <alignment horizontal="general" vertical="bottom" textRotation="0" wrapText="false" indent="0" shrinkToFit="false"/>
      <protection locked="true" hidden="true"/>
    </xf>
    <xf numFmtId="166" fontId="21" fillId="17" borderId="89" xfId="0" applyFont="true" applyBorder="true" applyAlignment="true" applyProtection="true">
      <alignment horizontal="left" vertical="bottom" textRotation="0" wrapText="false" indent="0" shrinkToFit="false"/>
      <protection locked="true" hidden="true"/>
    </xf>
    <xf numFmtId="166" fontId="24" fillId="16" borderId="90" xfId="0" applyFont="true" applyBorder="true" applyAlignment="true" applyProtection="true">
      <alignment horizontal="center" vertical="bottom" textRotation="0" wrapText="false" indent="0" shrinkToFit="false"/>
      <protection locked="true" hidden="true"/>
    </xf>
    <xf numFmtId="167" fontId="29" fillId="17" borderId="0" xfId="0" applyFont="true" applyBorder="false" applyAlignment="true" applyProtection="true">
      <alignment horizontal="center" vertical="center" textRotation="0" wrapText="false" indent="0" shrinkToFit="false"/>
      <protection locked="true" hidden="true"/>
    </xf>
    <xf numFmtId="168" fontId="29" fillId="17" borderId="0" xfId="0" applyFont="true" applyBorder="false" applyAlignment="true" applyProtection="true">
      <alignment horizontal="center" vertical="center" textRotation="0" wrapText="false" indent="0" shrinkToFit="false"/>
      <protection locked="true" hidden="true"/>
    </xf>
    <xf numFmtId="166" fontId="21" fillId="17" borderId="8" xfId="0" applyFont="true" applyBorder="true" applyAlignment="true" applyProtection="true">
      <alignment horizontal="right" vertical="bottom" textRotation="0" wrapText="false" indent="0" shrinkToFit="false"/>
      <protection locked="true" hidden="true"/>
    </xf>
    <xf numFmtId="166" fontId="21" fillId="17" borderId="9" xfId="0" applyFont="true" applyBorder="true" applyAlignment="false" applyProtection="true">
      <alignment horizontal="general" vertical="bottom" textRotation="0" wrapText="false" indent="0" shrinkToFit="false"/>
      <protection locked="true" hidden="true"/>
    </xf>
    <xf numFmtId="164" fontId="21" fillId="17" borderId="10" xfId="0" applyFont="true" applyBorder="true" applyAlignment="true" applyProtection="true">
      <alignment horizontal="center" vertical="bottom" textRotation="0" wrapText="false" indent="0" shrinkToFit="false"/>
      <protection locked="false" hidden="false"/>
    </xf>
    <xf numFmtId="166" fontId="21" fillId="17" borderId="8" xfId="0" applyFont="true" applyBorder="true" applyAlignment="false" applyProtection="true">
      <alignment horizontal="general" vertical="bottom" textRotation="0" wrapText="false" indent="0" shrinkToFit="false"/>
      <protection locked="true" hidden="true"/>
    </xf>
    <xf numFmtId="166" fontId="21" fillId="17" borderId="91" xfId="0" applyFont="true" applyBorder="true" applyAlignment="true" applyProtection="true">
      <alignment horizontal="left" vertical="bottom" textRotation="0" wrapText="false" indent="0" shrinkToFit="false"/>
      <protection locked="true" hidden="true"/>
    </xf>
    <xf numFmtId="164" fontId="24" fillId="16" borderId="92" xfId="0" applyFont="true" applyBorder="true" applyAlignment="true" applyProtection="true">
      <alignment horizontal="center" vertical="center" textRotation="0" wrapText="false" indent="0" shrinkToFit="false"/>
      <protection locked="true" hidden="true"/>
    </xf>
    <xf numFmtId="164" fontId="24" fillId="16" borderId="93" xfId="0" applyFont="true" applyBorder="true" applyAlignment="true" applyProtection="true">
      <alignment horizontal="left" vertical="center" textRotation="0" wrapText="false" indent="0" shrinkToFit="false"/>
      <protection locked="true" hidden="true"/>
    </xf>
    <xf numFmtId="164" fontId="24" fillId="16" borderId="93" xfId="0" applyFont="true" applyBorder="true" applyAlignment="true" applyProtection="true">
      <alignment horizontal="center" vertical="center" textRotation="0" wrapText="false" indent="0" shrinkToFit="false"/>
      <protection locked="true" hidden="true"/>
    </xf>
    <xf numFmtId="164" fontId="24" fillId="16" borderId="94" xfId="0" applyFont="true" applyBorder="true" applyAlignment="true" applyProtection="true">
      <alignment horizontal="center" vertical="center" textRotation="0" wrapText="false" indent="0" shrinkToFit="false"/>
      <protection locked="true" hidden="true"/>
    </xf>
    <xf numFmtId="164" fontId="33" fillId="7" borderId="95" xfId="0" applyFont="true" applyBorder="true" applyAlignment="true" applyProtection="true">
      <alignment horizontal="center" vertical="center" textRotation="0" wrapText="false" indent="0" shrinkToFit="false"/>
      <protection locked="true" hidden="true"/>
    </xf>
    <xf numFmtId="166" fontId="33" fillId="7" borderId="85" xfId="0" applyFont="true" applyBorder="true" applyAlignment="true" applyProtection="true">
      <alignment horizontal="left" vertical="center" textRotation="0" wrapText="false" indent="0" shrinkToFit="false"/>
      <protection locked="true" hidden="true"/>
    </xf>
    <xf numFmtId="166" fontId="33" fillId="7" borderId="85" xfId="0" applyFont="true" applyBorder="true" applyAlignment="true" applyProtection="true">
      <alignment horizontal="center" vertical="center" textRotation="0" wrapText="false" indent="0" shrinkToFit="false"/>
      <protection locked="true" hidden="true"/>
    </xf>
    <xf numFmtId="166" fontId="33" fillId="7" borderId="89" xfId="0" applyFont="true" applyBorder="true" applyAlignment="true" applyProtection="true">
      <alignment horizontal="center" vertical="center" textRotation="0" wrapText="false" indent="0" shrinkToFit="false"/>
      <protection locked="true" hidden="true"/>
    </xf>
    <xf numFmtId="164" fontId="33" fillId="7" borderId="96" xfId="0" applyFont="true" applyBorder="true" applyAlignment="true" applyProtection="true">
      <alignment horizontal="center" vertical="center" textRotation="0" wrapText="false" indent="0" shrinkToFit="false"/>
      <protection locked="true" hidden="true"/>
    </xf>
    <xf numFmtId="166" fontId="33" fillId="7" borderId="91" xfId="0" applyFont="true" applyBorder="true" applyAlignment="true" applyProtection="true">
      <alignment horizontal="center" vertical="center" textRotation="0" wrapText="false" indent="0" shrinkToFit="false"/>
      <protection locked="true" hidden="true"/>
    </xf>
    <xf numFmtId="167" fontId="29" fillId="17" borderId="93" xfId="0" applyFont="true" applyBorder="true" applyAlignment="true" applyProtection="true">
      <alignment horizontal="center" vertical="center" textRotation="0" wrapText="false" indent="0" shrinkToFit="false"/>
      <protection locked="true" hidden="true"/>
    </xf>
    <xf numFmtId="168" fontId="29" fillId="17" borderId="93" xfId="0" applyFont="true" applyBorder="true" applyAlignment="true" applyProtection="true">
      <alignment horizontal="center" vertical="center" textRotation="0" wrapText="false" indent="0" shrinkToFit="false"/>
      <protection locked="true" hidden="true"/>
    </xf>
    <xf numFmtId="166" fontId="21" fillId="17" borderId="97" xfId="0" applyFont="true" applyBorder="true" applyAlignment="true" applyProtection="true">
      <alignment horizontal="right" vertical="bottom" textRotation="0" wrapText="false" indent="0" shrinkToFit="false"/>
      <protection locked="true" hidden="true"/>
    </xf>
    <xf numFmtId="166" fontId="21" fillId="17" borderId="98" xfId="0" applyFont="true" applyBorder="true" applyAlignment="false" applyProtection="true">
      <alignment horizontal="general" vertical="bottom" textRotation="0" wrapText="false" indent="0" shrinkToFit="false"/>
      <protection locked="true" hidden="true"/>
    </xf>
    <xf numFmtId="164" fontId="21" fillId="17" borderId="99" xfId="0" applyFont="true" applyBorder="true" applyAlignment="true" applyProtection="true">
      <alignment horizontal="center" vertical="bottom" textRotation="0" wrapText="false" indent="0" shrinkToFit="false"/>
      <protection locked="false" hidden="false"/>
    </xf>
    <xf numFmtId="166" fontId="21" fillId="17" borderId="97" xfId="0" applyFont="true" applyBorder="true" applyAlignment="false" applyProtection="true">
      <alignment horizontal="general" vertical="bottom" textRotation="0" wrapText="false" indent="0" shrinkToFit="false"/>
      <protection locked="true" hidden="true"/>
    </xf>
    <xf numFmtId="166" fontId="21" fillId="17" borderId="94" xfId="0" applyFont="true" applyBorder="true" applyAlignment="true" applyProtection="true">
      <alignment horizontal="left" vertical="bottom" textRotation="0" wrapText="false" indent="0" shrinkToFit="false"/>
      <protection locked="true" hidden="true"/>
    </xf>
    <xf numFmtId="164" fontId="33" fillId="7" borderId="92" xfId="0" applyFont="true" applyBorder="true" applyAlignment="true" applyProtection="true">
      <alignment horizontal="center" vertical="center" textRotation="0" wrapText="false" indent="0" shrinkToFit="false"/>
      <protection locked="true" hidden="true"/>
    </xf>
    <xf numFmtId="166" fontId="33" fillId="7" borderId="93" xfId="0" applyFont="true" applyBorder="true" applyAlignment="true" applyProtection="true">
      <alignment horizontal="left" vertical="center" textRotation="0" wrapText="false" indent="0" shrinkToFit="false"/>
      <protection locked="true" hidden="true"/>
    </xf>
    <xf numFmtId="166" fontId="33" fillId="7" borderId="93" xfId="0" applyFont="true" applyBorder="true" applyAlignment="true" applyProtection="true">
      <alignment horizontal="center" vertical="center" textRotation="0" wrapText="false" indent="0" shrinkToFit="false"/>
      <protection locked="true" hidden="true"/>
    </xf>
    <xf numFmtId="166" fontId="33" fillId="7" borderId="94" xfId="0" applyFont="true" applyBorder="true" applyAlignment="true" applyProtection="true">
      <alignment horizontal="center" vertical="center" textRotation="0" wrapText="false" indent="0" shrinkToFit="false"/>
      <protection locked="true" hidden="true"/>
    </xf>
    <xf numFmtId="167" fontId="28" fillId="18" borderId="100" xfId="0" applyFont="true" applyBorder="true" applyAlignment="true" applyProtection="true">
      <alignment horizontal="center" vertical="center" textRotation="0" wrapText="false" indent="0" shrinkToFit="false"/>
      <protection locked="true" hidden="true"/>
    </xf>
    <xf numFmtId="167" fontId="29" fillId="19" borderId="101" xfId="0" applyFont="true" applyBorder="true" applyAlignment="true" applyProtection="true">
      <alignment horizontal="center" vertical="center" textRotation="0" wrapText="false" indent="0" shrinkToFit="false"/>
      <protection locked="true" hidden="true"/>
    </xf>
    <xf numFmtId="168" fontId="29" fillId="19" borderId="101" xfId="0" applyFont="true" applyBorder="true" applyAlignment="true" applyProtection="true">
      <alignment horizontal="center" vertical="center" textRotation="0" wrapText="false" indent="0" shrinkToFit="false"/>
      <protection locked="true" hidden="true"/>
    </xf>
    <xf numFmtId="166" fontId="21" fillId="19" borderId="102" xfId="0" applyFont="true" applyBorder="true" applyAlignment="true" applyProtection="true">
      <alignment horizontal="right" vertical="bottom" textRotation="0" wrapText="false" indent="0" shrinkToFit="false"/>
      <protection locked="true" hidden="true"/>
    </xf>
    <xf numFmtId="166" fontId="21" fillId="19" borderId="103" xfId="0" applyFont="true" applyBorder="true" applyAlignment="false" applyProtection="true">
      <alignment horizontal="general" vertical="bottom" textRotation="0" wrapText="false" indent="0" shrinkToFit="false"/>
      <protection locked="true" hidden="true"/>
    </xf>
    <xf numFmtId="164" fontId="21" fillId="19" borderId="104" xfId="0" applyFont="true" applyBorder="true" applyAlignment="true" applyProtection="true">
      <alignment horizontal="center" vertical="bottom" textRotation="0" wrapText="false" indent="0" shrinkToFit="false"/>
      <protection locked="false" hidden="false"/>
    </xf>
    <xf numFmtId="166" fontId="21" fillId="19" borderId="102" xfId="0" applyFont="true" applyBorder="true" applyAlignment="false" applyProtection="true">
      <alignment horizontal="general" vertical="bottom" textRotation="0" wrapText="false" indent="0" shrinkToFit="false"/>
      <protection locked="true" hidden="true"/>
    </xf>
    <xf numFmtId="166" fontId="21" fillId="19" borderId="105" xfId="0" applyFont="true" applyBorder="true" applyAlignment="true" applyProtection="true">
      <alignment horizontal="left" vertical="bottom" textRotation="0" wrapText="false" indent="0" shrinkToFit="false"/>
      <protection locked="true" hidden="true"/>
    </xf>
    <xf numFmtId="166" fontId="24" fillId="18" borderId="106" xfId="0" applyFont="true" applyBorder="true" applyAlignment="true" applyProtection="true">
      <alignment horizontal="center" vertical="bottom" textRotation="0" wrapText="false" indent="0" shrinkToFit="false"/>
      <protection locked="true" hidden="true"/>
    </xf>
    <xf numFmtId="167" fontId="29" fillId="19" borderId="0" xfId="0" applyFont="true" applyBorder="false" applyAlignment="true" applyProtection="true">
      <alignment horizontal="center" vertical="center" textRotation="0" wrapText="false" indent="0" shrinkToFit="false"/>
      <protection locked="true" hidden="true"/>
    </xf>
    <xf numFmtId="168" fontId="29" fillId="19" borderId="0" xfId="0" applyFont="true" applyBorder="false" applyAlignment="true" applyProtection="true">
      <alignment horizontal="center" vertical="center" textRotation="0" wrapText="false" indent="0" shrinkToFit="false"/>
      <protection locked="true" hidden="true"/>
    </xf>
    <xf numFmtId="166" fontId="21" fillId="19" borderId="8" xfId="0" applyFont="true" applyBorder="true" applyAlignment="true" applyProtection="true">
      <alignment horizontal="right" vertical="bottom" textRotation="0" wrapText="false" indent="0" shrinkToFit="false"/>
      <protection locked="true" hidden="true"/>
    </xf>
    <xf numFmtId="166" fontId="21" fillId="19" borderId="9" xfId="0" applyFont="true" applyBorder="true" applyAlignment="false" applyProtection="true">
      <alignment horizontal="general" vertical="bottom" textRotation="0" wrapText="false" indent="0" shrinkToFit="false"/>
      <protection locked="true" hidden="true"/>
    </xf>
    <xf numFmtId="164" fontId="21" fillId="19" borderId="10" xfId="0" applyFont="true" applyBorder="true" applyAlignment="true" applyProtection="true">
      <alignment horizontal="center" vertical="bottom" textRotation="0" wrapText="false" indent="0" shrinkToFit="false"/>
      <protection locked="false" hidden="false"/>
    </xf>
    <xf numFmtId="166" fontId="21" fillId="19" borderId="8" xfId="0" applyFont="true" applyBorder="true" applyAlignment="false" applyProtection="true">
      <alignment horizontal="general" vertical="bottom" textRotation="0" wrapText="false" indent="0" shrinkToFit="false"/>
      <protection locked="true" hidden="true"/>
    </xf>
    <xf numFmtId="166" fontId="21" fillId="19" borderId="107" xfId="0" applyFont="true" applyBorder="true" applyAlignment="true" applyProtection="true">
      <alignment horizontal="left" vertical="bottom" textRotation="0" wrapText="false" indent="0" shrinkToFit="false"/>
      <protection locked="true" hidden="true"/>
    </xf>
    <xf numFmtId="164" fontId="24" fillId="18" borderId="108" xfId="0" applyFont="true" applyBorder="true" applyAlignment="true" applyProtection="true">
      <alignment horizontal="center" vertical="center" textRotation="0" wrapText="false" indent="0" shrinkToFit="false"/>
      <protection locked="true" hidden="true"/>
    </xf>
    <xf numFmtId="164" fontId="24" fillId="18" borderId="109" xfId="0" applyFont="true" applyBorder="true" applyAlignment="true" applyProtection="true">
      <alignment horizontal="left" vertical="center" textRotation="0" wrapText="false" indent="0" shrinkToFit="false"/>
      <protection locked="true" hidden="true"/>
    </xf>
    <xf numFmtId="164" fontId="24" fillId="18" borderId="109" xfId="0" applyFont="true" applyBorder="true" applyAlignment="true" applyProtection="true">
      <alignment horizontal="center" vertical="center" textRotation="0" wrapText="false" indent="0" shrinkToFit="false"/>
      <protection locked="true" hidden="true"/>
    </xf>
    <xf numFmtId="164" fontId="24" fillId="18" borderId="110" xfId="0" applyFont="true" applyBorder="true" applyAlignment="true" applyProtection="true">
      <alignment horizontal="center" vertical="center" textRotation="0" wrapText="false" indent="0" shrinkToFit="false"/>
      <protection locked="true" hidden="true"/>
    </xf>
    <xf numFmtId="164" fontId="33" fillId="7" borderId="111" xfId="0" applyFont="true" applyBorder="true" applyAlignment="true" applyProtection="true">
      <alignment horizontal="center" vertical="center" textRotation="0" wrapText="false" indent="0" shrinkToFit="false"/>
      <protection locked="true" hidden="true"/>
    </xf>
    <xf numFmtId="166" fontId="33" fillId="7" borderId="101" xfId="0" applyFont="true" applyBorder="true" applyAlignment="true" applyProtection="true">
      <alignment horizontal="left" vertical="center" textRotation="0" wrapText="false" indent="0" shrinkToFit="false"/>
      <protection locked="true" hidden="true"/>
    </xf>
    <xf numFmtId="166" fontId="33" fillId="7" borderId="101" xfId="0" applyFont="true" applyBorder="true" applyAlignment="true" applyProtection="true">
      <alignment horizontal="center" vertical="center" textRotation="0" wrapText="false" indent="0" shrinkToFit="false"/>
      <protection locked="true" hidden="true"/>
    </xf>
    <xf numFmtId="166" fontId="33" fillId="7" borderId="105" xfId="0" applyFont="true" applyBorder="true" applyAlignment="true" applyProtection="true">
      <alignment horizontal="center" vertical="center" textRotation="0" wrapText="false" indent="0" shrinkToFit="false"/>
      <protection locked="true" hidden="true"/>
    </xf>
    <xf numFmtId="164" fontId="33" fillId="7" borderId="112" xfId="0" applyFont="true" applyBorder="true" applyAlignment="true" applyProtection="true">
      <alignment horizontal="center" vertical="center" textRotation="0" wrapText="false" indent="0" shrinkToFit="false"/>
      <protection locked="true" hidden="true"/>
    </xf>
    <xf numFmtId="166" fontId="33" fillId="7" borderId="107" xfId="0" applyFont="true" applyBorder="true" applyAlignment="true" applyProtection="true">
      <alignment horizontal="center" vertical="center" textRotation="0" wrapText="false" indent="0" shrinkToFit="false"/>
      <protection locked="true" hidden="true"/>
    </xf>
    <xf numFmtId="167" fontId="29" fillId="19" borderId="109" xfId="0" applyFont="true" applyBorder="true" applyAlignment="true" applyProtection="true">
      <alignment horizontal="center" vertical="center" textRotation="0" wrapText="false" indent="0" shrinkToFit="false"/>
      <protection locked="true" hidden="true"/>
    </xf>
    <xf numFmtId="168" fontId="29" fillId="19" borderId="109" xfId="0" applyFont="true" applyBorder="true" applyAlignment="true" applyProtection="true">
      <alignment horizontal="center" vertical="center" textRotation="0" wrapText="false" indent="0" shrinkToFit="false"/>
      <protection locked="true" hidden="true"/>
    </xf>
    <xf numFmtId="166" fontId="21" fillId="19" borderId="113" xfId="0" applyFont="true" applyBorder="true" applyAlignment="true" applyProtection="true">
      <alignment horizontal="right" vertical="bottom" textRotation="0" wrapText="false" indent="0" shrinkToFit="false"/>
      <protection locked="true" hidden="true"/>
    </xf>
    <xf numFmtId="166" fontId="21" fillId="19" borderId="114" xfId="0" applyFont="true" applyBorder="true" applyAlignment="false" applyProtection="true">
      <alignment horizontal="general" vertical="bottom" textRotation="0" wrapText="false" indent="0" shrinkToFit="false"/>
      <protection locked="true" hidden="true"/>
    </xf>
    <xf numFmtId="164" fontId="21" fillId="19" borderId="115" xfId="0" applyFont="true" applyBorder="true" applyAlignment="true" applyProtection="true">
      <alignment horizontal="center" vertical="bottom" textRotation="0" wrapText="false" indent="0" shrinkToFit="false"/>
      <protection locked="false" hidden="false"/>
    </xf>
    <xf numFmtId="166" fontId="21" fillId="19" borderId="113" xfId="0" applyFont="true" applyBorder="true" applyAlignment="false" applyProtection="true">
      <alignment horizontal="general" vertical="bottom" textRotation="0" wrapText="false" indent="0" shrinkToFit="false"/>
      <protection locked="true" hidden="true"/>
    </xf>
    <xf numFmtId="166" fontId="21" fillId="19" borderId="110" xfId="0" applyFont="true" applyBorder="true" applyAlignment="true" applyProtection="true">
      <alignment horizontal="left" vertical="bottom" textRotation="0" wrapText="false" indent="0" shrinkToFit="false"/>
      <protection locked="true" hidden="true"/>
    </xf>
    <xf numFmtId="164" fontId="33" fillId="7" borderId="108" xfId="0" applyFont="true" applyBorder="true" applyAlignment="true" applyProtection="true">
      <alignment horizontal="center" vertical="center" textRotation="0" wrapText="false" indent="0" shrinkToFit="false"/>
      <protection locked="true" hidden="true"/>
    </xf>
    <xf numFmtId="166" fontId="33" fillId="7" borderId="109" xfId="0" applyFont="true" applyBorder="true" applyAlignment="true" applyProtection="true">
      <alignment horizontal="left" vertical="center" textRotation="0" wrapText="false" indent="0" shrinkToFit="false"/>
      <protection locked="true" hidden="true"/>
    </xf>
    <xf numFmtId="166" fontId="33" fillId="7" borderId="109" xfId="0" applyFont="true" applyBorder="true" applyAlignment="true" applyProtection="true">
      <alignment horizontal="center" vertical="center" textRotation="0" wrapText="false" indent="0" shrinkToFit="false"/>
      <protection locked="true" hidden="true"/>
    </xf>
    <xf numFmtId="166" fontId="33" fillId="7" borderId="110" xfId="0" applyFont="true" applyBorder="true" applyAlignment="true" applyProtection="true">
      <alignment horizontal="center" vertical="center" textRotation="0" wrapText="false" indent="0" shrinkToFit="false"/>
      <protection locked="true" hidden="true"/>
    </xf>
    <xf numFmtId="164" fontId="33" fillId="3" borderId="0" xfId="0" applyFont="true" applyBorder="false" applyAlignment="true" applyProtection="true">
      <alignment horizontal="center" vertical="bottom" textRotation="0" wrapText="false" indent="0" shrinkToFit="false"/>
      <protection locked="true" hidden="true"/>
    </xf>
    <xf numFmtId="164" fontId="46" fillId="3" borderId="0" xfId="0" applyFont="true" applyBorder="false" applyAlignment="false" applyProtection="true">
      <alignment horizontal="general" vertical="bottom" textRotation="0" wrapText="false" indent="0" shrinkToFit="false"/>
      <protection locked="true" hidden="true"/>
    </xf>
    <xf numFmtId="164" fontId="47" fillId="3" borderId="0" xfId="0" applyFont="true" applyBorder="false" applyAlignment="false" applyProtection="true">
      <alignment horizontal="general" vertical="bottom" textRotation="0" wrapText="false" indent="0" shrinkToFit="false"/>
      <protection locked="true" hidden="true"/>
    </xf>
    <xf numFmtId="164" fontId="21" fillId="2" borderId="0" xfId="0" applyFont="true" applyBorder="false" applyAlignment="true" applyProtection="true">
      <alignment horizontal="center" vertical="center" textRotation="0" wrapText="false" indent="0" shrinkToFit="false"/>
      <protection locked="true" hidden="true"/>
    </xf>
    <xf numFmtId="167" fontId="28" fillId="20" borderId="116" xfId="0" applyFont="true" applyBorder="true" applyAlignment="true" applyProtection="true">
      <alignment horizontal="center" vertical="center" textRotation="0" wrapText="false" indent="0" shrinkToFit="false"/>
      <protection locked="true" hidden="true"/>
    </xf>
    <xf numFmtId="167" fontId="29" fillId="21" borderId="117" xfId="0" applyFont="true" applyBorder="true" applyAlignment="true" applyProtection="true">
      <alignment horizontal="center" vertical="center" textRotation="0" wrapText="false" indent="0" shrinkToFit="false"/>
      <protection locked="true" hidden="true"/>
    </xf>
    <xf numFmtId="168" fontId="29" fillId="21" borderId="117" xfId="0" applyFont="true" applyBorder="true" applyAlignment="true" applyProtection="true">
      <alignment horizontal="center" vertical="center" textRotation="0" wrapText="false" indent="0" shrinkToFit="false"/>
      <protection locked="true" hidden="true"/>
    </xf>
    <xf numFmtId="166" fontId="21" fillId="21" borderId="118" xfId="0" applyFont="true" applyBorder="true" applyAlignment="true" applyProtection="true">
      <alignment horizontal="right" vertical="bottom" textRotation="0" wrapText="false" indent="0" shrinkToFit="false"/>
      <protection locked="true" hidden="true"/>
    </xf>
    <xf numFmtId="166" fontId="21" fillId="21" borderId="119" xfId="0" applyFont="true" applyBorder="true" applyAlignment="false" applyProtection="true">
      <alignment horizontal="general" vertical="bottom" textRotation="0" wrapText="false" indent="0" shrinkToFit="false"/>
      <protection locked="true" hidden="true"/>
    </xf>
    <xf numFmtId="164" fontId="21" fillId="21" borderId="120" xfId="0" applyFont="true" applyBorder="true" applyAlignment="true" applyProtection="true">
      <alignment horizontal="center" vertical="bottom" textRotation="0" wrapText="false" indent="0" shrinkToFit="false"/>
      <protection locked="false" hidden="false"/>
    </xf>
    <xf numFmtId="166" fontId="21" fillId="21" borderId="118" xfId="0" applyFont="true" applyBorder="true" applyAlignment="false" applyProtection="true">
      <alignment horizontal="general" vertical="bottom" textRotation="0" wrapText="false" indent="0" shrinkToFit="false"/>
      <protection locked="true" hidden="true"/>
    </xf>
    <xf numFmtId="166" fontId="21" fillId="21" borderId="121" xfId="0" applyFont="true" applyBorder="true" applyAlignment="true" applyProtection="true">
      <alignment horizontal="left" vertical="bottom" textRotation="0" wrapText="false" indent="0" shrinkToFit="false"/>
      <protection locked="true" hidden="true"/>
    </xf>
    <xf numFmtId="166" fontId="24" fillId="20" borderId="122" xfId="0" applyFont="true" applyBorder="true" applyAlignment="true" applyProtection="true">
      <alignment horizontal="center" vertical="bottom" textRotation="0" wrapText="false" indent="0" shrinkToFit="false"/>
      <protection locked="true" hidden="true"/>
    </xf>
    <xf numFmtId="167" fontId="29" fillId="21" borderId="0" xfId="0" applyFont="true" applyBorder="false" applyAlignment="true" applyProtection="true">
      <alignment horizontal="center" vertical="center" textRotation="0" wrapText="false" indent="0" shrinkToFit="false"/>
      <protection locked="true" hidden="true"/>
    </xf>
    <xf numFmtId="168" fontId="29" fillId="21" borderId="0" xfId="0" applyFont="true" applyBorder="false" applyAlignment="true" applyProtection="true">
      <alignment horizontal="center" vertical="center" textRotation="0" wrapText="false" indent="0" shrinkToFit="false"/>
      <protection locked="true" hidden="true"/>
    </xf>
    <xf numFmtId="166" fontId="21" fillId="21" borderId="8" xfId="0" applyFont="true" applyBorder="true" applyAlignment="true" applyProtection="true">
      <alignment horizontal="right" vertical="bottom" textRotation="0" wrapText="false" indent="0" shrinkToFit="false"/>
      <protection locked="true" hidden="true"/>
    </xf>
    <xf numFmtId="166" fontId="21" fillId="21" borderId="9" xfId="0" applyFont="true" applyBorder="true" applyAlignment="false" applyProtection="true">
      <alignment horizontal="general" vertical="bottom" textRotation="0" wrapText="false" indent="0" shrinkToFit="false"/>
      <protection locked="true" hidden="true"/>
    </xf>
    <xf numFmtId="164" fontId="21" fillId="21" borderId="10" xfId="0" applyFont="true" applyBorder="true" applyAlignment="true" applyProtection="true">
      <alignment horizontal="center" vertical="bottom" textRotation="0" wrapText="false" indent="0" shrinkToFit="false"/>
      <protection locked="false" hidden="false"/>
    </xf>
    <xf numFmtId="166" fontId="21" fillId="21" borderId="8" xfId="0" applyFont="true" applyBorder="true" applyAlignment="false" applyProtection="true">
      <alignment horizontal="general" vertical="bottom" textRotation="0" wrapText="false" indent="0" shrinkToFit="false"/>
      <protection locked="true" hidden="true"/>
    </xf>
    <xf numFmtId="166" fontId="21" fillId="21" borderId="123" xfId="0" applyFont="true" applyBorder="true" applyAlignment="true" applyProtection="true">
      <alignment horizontal="left" vertical="bottom" textRotation="0" wrapText="false" indent="0" shrinkToFit="false"/>
      <protection locked="true" hidden="true"/>
    </xf>
    <xf numFmtId="164" fontId="24" fillId="20" borderId="124" xfId="0" applyFont="true" applyBorder="true" applyAlignment="true" applyProtection="true">
      <alignment horizontal="center" vertical="center" textRotation="0" wrapText="false" indent="0" shrinkToFit="false"/>
      <protection locked="true" hidden="true"/>
    </xf>
    <xf numFmtId="164" fontId="24" fillId="20" borderId="125" xfId="0" applyFont="true" applyBorder="true" applyAlignment="true" applyProtection="true">
      <alignment horizontal="left" vertical="center" textRotation="0" wrapText="false" indent="0" shrinkToFit="false"/>
      <protection locked="true" hidden="true"/>
    </xf>
    <xf numFmtId="164" fontId="24" fillId="20" borderId="125" xfId="0" applyFont="true" applyBorder="true" applyAlignment="true" applyProtection="true">
      <alignment horizontal="center" vertical="center" textRotation="0" wrapText="false" indent="0" shrinkToFit="false"/>
      <protection locked="true" hidden="true"/>
    </xf>
    <xf numFmtId="164" fontId="24" fillId="20" borderId="126" xfId="0" applyFont="true" applyBorder="true" applyAlignment="true" applyProtection="true">
      <alignment horizontal="center" vertical="center" textRotation="0" wrapText="false" indent="0" shrinkToFit="false"/>
      <protection locked="true" hidden="true"/>
    </xf>
    <xf numFmtId="164" fontId="33" fillId="7" borderId="127" xfId="0" applyFont="true" applyBorder="true" applyAlignment="true" applyProtection="true">
      <alignment horizontal="center" vertical="center" textRotation="0" wrapText="false" indent="0" shrinkToFit="false"/>
      <protection locked="true" hidden="true"/>
    </xf>
    <xf numFmtId="166" fontId="33" fillId="7" borderId="117" xfId="0" applyFont="true" applyBorder="true" applyAlignment="true" applyProtection="true">
      <alignment horizontal="left" vertical="center" textRotation="0" wrapText="false" indent="0" shrinkToFit="false"/>
      <protection locked="true" hidden="true"/>
    </xf>
    <xf numFmtId="166" fontId="33" fillId="7" borderId="117" xfId="0" applyFont="true" applyBorder="true" applyAlignment="true" applyProtection="true">
      <alignment horizontal="center" vertical="center" textRotation="0" wrapText="false" indent="0" shrinkToFit="false"/>
      <protection locked="true" hidden="true"/>
    </xf>
    <xf numFmtId="166" fontId="33" fillId="7" borderId="121" xfId="0" applyFont="true" applyBorder="true" applyAlignment="true" applyProtection="true">
      <alignment horizontal="center" vertical="center" textRotation="0" wrapText="false" indent="0" shrinkToFit="false"/>
      <protection locked="true" hidden="true"/>
    </xf>
    <xf numFmtId="164" fontId="33" fillId="7" borderId="128" xfId="0" applyFont="true" applyBorder="true" applyAlignment="true" applyProtection="true">
      <alignment horizontal="center" vertical="center" textRotation="0" wrapText="false" indent="0" shrinkToFit="false"/>
      <protection locked="true" hidden="true"/>
    </xf>
    <xf numFmtId="166" fontId="33" fillId="7" borderId="123" xfId="0" applyFont="true" applyBorder="true" applyAlignment="true" applyProtection="true">
      <alignment horizontal="center" vertical="center" textRotation="0" wrapText="false" indent="0" shrinkToFit="false"/>
      <protection locked="true" hidden="true"/>
    </xf>
    <xf numFmtId="167" fontId="29" fillId="21" borderId="125" xfId="0" applyFont="true" applyBorder="true" applyAlignment="true" applyProtection="true">
      <alignment horizontal="center" vertical="center" textRotation="0" wrapText="false" indent="0" shrinkToFit="false"/>
      <protection locked="true" hidden="true"/>
    </xf>
    <xf numFmtId="168" fontId="29" fillId="21" borderId="125" xfId="0" applyFont="true" applyBorder="true" applyAlignment="true" applyProtection="true">
      <alignment horizontal="center" vertical="center" textRotation="0" wrapText="false" indent="0" shrinkToFit="false"/>
      <protection locked="true" hidden="true"/>
    </xf>
    <xf numFmtId="166" fontId="21" fillId="21" borderId="129" xfId="0" applyFont="true" applyBorder="true" applyAlignment="true" applyProtection="true">
      <alignment horizontal="right" vertical="bottom" textRotation="0" wrapText="false" indent="0" shrinkToFit="false"/>
      <protection locked="true" hidden="true"/>
    </xf>
    <xf numFmtId="166" fontId="21" fillId="21" borderId="130" xfId="0" applyFont="true" applyBorder="true" applyAlignment="false" applyProtection="true">
      <alignment horizontal="general" vertical="bottom" textRotation="0" wrapText="false" indent="0" shrinkToFit="false"/>
      <protection locked="true" hidden="true"/>
    </xf>
    <xf numFmtId="164" fontId="21" fillId="21" borderId="131" xfId="0" applyFont="true" applyBorder="true" applyAlignment="true" applyProtection="true">
      <alignment horizontal="center" vertical="bottom" textRotation="0" wrapText="false" indent="0" shrinkToFit="false"/>
      <protection locked="false" hidden="false"/>
    </xf>
    <xf numFmtId="166" fontId="21" fillId="21" borderId="129" xfId="0" applyFont="true" applyBorder="true" applyAlignment="false" applyProtection="true">
      <alignment horizontal="general" vertical="bottom" textRotation="0" wrapText="false" indent="0" shrinkToFit="false"/>
      <protection locked="true" hidden="true"/>
    </xf>
    <xf numFmtId="166" fontId="21" fillId="21" borderId="126" xfId="0" applyFont="true" applyBorder="true" applyAlignment="true" applyProtection="true">
      <alignment horizontal="left" vertical="bottom" textRotation="0" wrapText="false" indent="0" shrinkToFit="false"/>
      <protection locked="true" hidden="true"/>
    </xf>
    <xf numFmtId="164" fontId="33" fillId="7" borderId="124" xfId="0" applyFont="true" applyBorder="true" applyAlignment="true" applyProtection="true">
      <alignment horizontal="center" vertical="center" textRotation="0" wrapText="false" indent="0" shrinkToFit="false"/>
      <protection locked="true" hidden="true"/>
    </xf>
    <xf numFmtId="166" fontId="33" fillId="7" borderId="125" xfId="0" applyFont="true" applyBorder="true" applyAlignment="true" applyProtection="true">
      <alignment horizontal="left" vertical="center" textRotation="0" wrapText="false" indent="0" shrinkToFit="false"/>
      <protection locked="true" hidden="true"/>
    </xf>
    <xf numFmtId="166" fontId="33" fillId="7" borderId="125" xfId="0" applyFont="true" applyBorder="true" applyAlignment="true" applyProtection="true">
      <alignment horizontal="center" vertical="center" textRotation="0" wrapText="false" indent="0" shrinkToFit="false"/>
      <protection locked="true" hidden="true"/>
    </xf>
    <xf numFmtId="166" fontId="33" fillId="7" borderId="126" xfId="0" applyFont="true" applyBorder="true" applyAlignment="true" applyProtection="true">
      <alignment horizontal="center" vertical="center" textRotation="0" wrapText="false" indent="0" shrinkToFit="false"/>
      <protection locked="true" hidden="true"/>
    </xf>
    <xf numFmtId="164" fontId="48" fillId="3" borderId="0" xfId="0" applyFont="true" applyBorder="false" applyAlignment="true" applyProtection="true">
      <alignment horizontal="center" vertical="bottom" textRotation="0" wrapText="false" indent="0" shrinkToFit="false"/>
      <protection locked="true" hidden="true"/>
    </xf>
    <xf numFmtId="164" fontId="21" fillId="2" borderId="0" xfId="21" applyFont="true" applyBorder="false" applyAlignment="false" applyProtection="false">
      <alignment horizontal="general" vertical="bottom" textRotation="0" wrapText="false" indent="0" shrinkToFit="false"/>
      <protection locked="true" hidden="false"/>
    </xf>
    <xf numFmtId="164" fontId="26" fillId="3" borderId="0" xfId="0" applyFont="true" applyBorder="true" applyAlignment="true" applyProtection="true">
      <alignment horizontal="center" vertical="center" textRotation="0" wrapText="false" indent="0" shrinkToFit="false"/>
      <protection locked="true" hidden="true"/>
    </xf>
    <xf numFmtId="164" fontId="49" fillId="3" borderId="0" xfId="0" applyFont="true" applyBorder="false" applyAlignment="true" applyProtection="true">
      <alignment horizontal="center" vertical="bottom" textRotation="0" wrapText="false" indent="0" shrinkToFit="false"/>
      <protection locked="true" hidden="true"/>
    </xf>
    <xf numFmtId="164" fontId="37" fillId="3" borderId="0" xfId="0" applyFont="true" applyBorder="false" applyAlignment="true" applyProtection="true">
      <alignment horizontal="left" vertical="center" textRotation="0" wrapText="false" indent="0" shrinkToFit="false"/>
      <protection locked="true" hidden="true"/>
    </xf>
    <xf numFmtId="164" fontId="35" fillId="3" borderId="0" xfId="0" applyFont="true" applyBorder="false" applyAlignment="true" applyProtection="true">
      <alignment horizontal="center" vertical="bottom" textRotation="0" wrapText="false" indent="0" shrinkToFit="false"/>
      <protection locked="true" hidden="true"/>
    </xf>
    <xf numFmtId="164" fontId="35" fillId="3" borderId="0" xfId="0" applyFont="true" applyBorder="false" applyAlignment="true" applyProtection="false">
      <alignment horizontal="center" vertical="bottom" textRotation="0" wrapText="false" indent="0" shrinkToFit="false"/>
      <protection locked="true" hidden="false"/>
    </xf>
    <xf numFmtId="167" fontId="50" fillId="22" borderId="132" xfId="0" applyFont="true" applyBorder="true" applyAlignment="true" applyProtection="true">
      <alignment horizontal="center" vertical="center" textRotation="0" wrapText="false" indent="0" shrinkToFit="false"/>
      <protection locked="true" hidden="true"/>
    </xf>
    <xf numFmtId="167" fontId="29" fillId="23" borderId="133" xfId="0" applyFont="true" applyBorder="true" applyAlignment="true" applyProtection="true">
      <alignment horizontal="center" vertical="center" textRotation="0" wrapText="false" indent="0" shrinkToFit="false"/>
      <protection locked="true" hidden="true"/>
    </xf>
    <xf numFmtId="168" fontId="29" fillId="23" borderId="133" xfId="0" applyFont="true" applyBorder="true" applyAlignment="true" applyProtection="true">
      <alignment horizontal="center" vertical="center" textRotation="0" wrapText="false" indent="0" shrinkToFit="false"/>
      <protection locked="true" hidden="true"/>
    </xf>
    <xf numFmtId="167" fontId="29" fillId="23" borderId="134" xfId="0" applyFont="true" applyBorder="true" applyAlignment="true" applyProtection="true">
      <alignment horizontal="center" vertical="center" textRotation="0" wrapText="false" indent="0" shrinkToFit="false"/>
      <protection locked="true" hidden="true"/>
    </xf>
    <xf numFmtId="166" fontId="21" fillId="23" borderId="135" xfId="0" applyFont="true" applyBorder="true" applyAlignment="true" applyProtection="true">
      <alignment horizontal="right" vertical="center" textRotation="0" wrapText="false" indent="0" shrinkToFit="false"/>
      <protection locked="true" hidden="true"/>
    </xf>
    <xf numFmtId="164" fontId="24" fillId="23" borderId="134" xfId="0" applyFont="true" applyBorder="true" applyAlignment="true" applyProtection="true">
      <alignment horizontal="center" vertical="bottom" textRotation="0" wrapText="false" indent="0" shrinkToFit="false"/>
      <protection locked="false" hidden="true"/>
    </xf>
    <xf numFmtId="164" fontId="24" fillId="23" borderId="136" xfId="0" applyFont="true" applyBorder="true" applyAlignment="true" applyProtection="true">
      <alignment horizontal="center" vertical="bottom" textRotation="0" wrapText="false" indent="0" shrinkToFit="false"/>
      <protection locked="false" hidden="false"/>
    </xf>
    <xf numFmtId="164" fontId="24" fillId="23" borderId="135" xfId="0" applyFont="true" applyBorder="true" applyAlignment="true" applyProtection="true">
      <alignment horizontal="center" vertical="bottom" textRotation="0" wrapText="false" indent="0" shrinkToFit="false"/>
      <protection locked="false" hidden="true"/>
    </xf>
    <xf numFmtId="166" fontId="21" fillId="23" borderId="137" xfId="0" applyFont="true" applyBorder="true" applyAlignment="true" applyProtection="false">
      <alignment horizontal="left" vertical="center" textRotation="0" wrapText="false" indent="0" shrinkToFit="false"/>
      <protection locked="true" hidden="false"/>
    </xf>
    <xf numFmtId="166" fontId="30" fillId="3" borderId="0" xfId="0" applyFont="true" applyBorder="false" applyAlignment="true" applyProtection="false">
      <alignment horizontal="center" vertical="bottom" textRotation="0" wrapText="false" indent="0" shrinkToFit="false"/>
      <protection locked="true" hidden="false"/>
    </xf>
    <xf numFmtId="164" fontId="51" fillId="3" borderId="0" xfId="0" applyFont="true" applyBorder="false" applyAlignment="true" applyProtection="true">
      <alignment horizontal="left" vertical="center" textRotation="0" wrapText="false" indent="0" shrinkToFit="false"/>
      <protection locked="true" hidden="true"/>
    </xf>
    <xf numFmtId="164" fontId="24" fillId="2" borderId="0" xfId="0" applyFont="true" applyBorder="false" applyAlignment="true" applyProtection="false">
      <alignment horizontal="center" vertical="bottom" textRotation="0" wrapText="false" indent="0" shrinkToFit="false"/>
      <protection locked="true" hidden="false"/>
    </xf>
    <xf numFmtId="164" fontId="21" fillId="2" borderId="0" xfId="0" applyFont="true" applyBorder="false" applyAlignment="true" applyProtection="false">
      <alignment horizontal="center" vertical="bottom" textRotation="0" wrapText="false" indent="0" shrinkToFit="false"/>
      <protection locked="true" hidden="false"/>
    </xf>
    <xf numFmtId="167" fontId="29" fillId="23" borderId="0" xfId="0" applyFont="true" applyBorder="false" applyAlignment="true" applyProtection="true">
      <alignment horizontal="center" vertical="center" textRotation="0" wrapText="false" indent="0" shrinkToFit="false"/>
      <protection locked="true" hidden="true"/>
    </xf>
    <xf numFmtId="168" fontId="29" fillId="23" borderId="0" xfId="0" applyFont="true" applyBorder="false" applyAlignment="true" applyProtection="true">
      <alignment horizontal="center" vertical="center" textRotation="0" wrapText="false" indent="0" shrinkToFit="false"/>
      <protection locked="true" hidden="true"/>
    </xf>
    <xf numFmtId="167" fontId="29" fillId="23" borderId="9" xfId="0" applyFont="true" applyBorder="true" applyAlignment="true" applyProtection="true">
      <alignment horizontal="center" vertical="center" textRotation="0" wrapText="false" indent="0" shrinkToFit="false"/>
      <protection locked="true" hidden="true"/>
    </xf>
    <xf numFmtId="166" fontId="21" fillId="23" borderId="8" xfId="0" applyFont="true" applyBorder="true" applyAlignment="true" applyProtection="true">
      <alignment horizontal="right" vertical="center" textRotation="0" wrapText="false" indent="0" shrinkToFit="false"/>
      <protection locked="true" hidden="true"/>
    </xf>
    <xf numFmtId="164" fontId="24" fillId="23" borderId="0" xfId="0" applyFont="true" applyBorder="false" applyAlignment="true" applyProtection="true">
      <alignment horizontal="center" vertical="bottom" textRotation="0" wrapText="false" indent="0" shrinkToFit="false"/>
      <protection locked="false" hidden="true"/>
    </xf>
    <xf numFmtId="164" fontId="24" fillId="23" borderId="138" xfId="0" applyFont="true" applyBorder="true" applyAlignment="true" applyProtection="true">
      <alignment horizontal="center" vertical="bottom" textRotation="0" wrapText="false" indent="0" shrinkToFit="false"/>
      <protection locked="false" hidden="false"/>
    </xf>
    <xf numFmtId="166" fontId="21" fillId="23" borderId="139" xfId="0" applyFont="true" applyBorder="true" applyAlignment="true" applyProtection="false">
      <alignment horizontal="left" vertical="center" textRotation="0" wrapText="false" indent="0" shrinkToFit="false"/>
      <protection locked="true" hidden="false"/>
    </xf>
    <xf numFmtId="170" fontId="29" fillId="23" borderId="9" xfId="0" applyFont="true" applyBorder="true" applyAlignment="true" applyProtection="true">
      <alignment horizontal="center" vertical="center" textRotation="0" wrapText="false" indent="0" shrinkToFit="false"/>
      <protection locked="true" hidden="true"/>
    </xf>
    <xf numFmtId="166" fontId="21" fillId="23" borderId="0" xfId="0" applyFont="true" applyBorder="false" applyAlignment="true" applyProtection="true">
      <alignment horizontal="right" vertical="center" textRotation="0" wrapText="false" indent="0" shrinkToFit="false"/>
      <protection locked="true" hidden="true"/>
    </xf>
    <xf numFmtId="166" fontId="21" fillId="23" borderId="0" xfId="0" applyFont="true" applyBorder="false" applyAlignment="true" applyProtection="false">
      <alignment horizontal="left" vertical="center" textRotation="0" wrapText="false" indent="0" shrinkToFit="false"/>
      <protection locked="true" hidden="false"/>
    </xf>
    <xf numFmtId="164" fontId="24" fillId="23" borderId="9" xfId="0" applyFont="true" applyBorder="true" applyAlignment="true" applyProtection="true">
      <alignment horizontal="center" vertical="bottom" textRotation="0" wrapText="false" indent="0" shrinkToFit="false"/>
      <protection locked="false" hidden="true"/>
    </xf>
    <xf numFmtId="164" fontId="24" fillId="23" borderId="8" xfId="0" applyFont="true" applyBorder="true" applyAlignment="true" applyProtection="true">
      <alignment horizontal="center" vertical="bottom" textRotation="0" wrapText="false" indent="0" shrinkToFit="false"/>
      <protection locked="false" hidden="true"/>
    </xf>
    <xf numFmtId="164" fontId="24" fillId="23" borderId="140" xfId="0" applyFont="true" applyBorder="true" applyAlignment="true" applyProtection="true">
      <alignment horizontal="center" vertical="bottom" textRotation="0" wrapText="false" indent="0" shrinkToFit="false"/>
      <protection locked="false" hidden="false"/>
    </xf>
    <xf numFmtId="167" fontId="29" fillId="23" borderId="141" xfId="0" applyFont="true" applyBorder="true" applyAlignment="true" applyProtection="true">
      <alignment horizontal="center" vertical="center" textRotation="0" wrapText="false" indent="0" shrinkToFit="false"/>
      <protection locked="true" hidden="true"/>
    </xf>
    <xf numFmtId="168" fontId="29" fillId="23" borderId="141" xfId="0" applyFont="true" applyBorder="true" applyAlignment="true" applyProtection="true">
      <alignment horizontal="center" vertical="center" textRotation="0" wrapText="false" indent="0" shrinkToFit="false"/>
      <protection locked="true" hidden="true"/>
    </xf>
    <xf numFmtId="170" fontId="29" fillId="23" borderId="142" xfId="0" applyFont="true" applyBorder="true" applyAlignment="true" applyProtection="true">
      <alignment horizontal="center" vertical="center" textRotation="0" wrapText="false" indent="0" shrinkToFit="false"/>
      <protection locked="true" hidden="true"/>
    </xf>
    <xf numFmtId="166" fontId="21" fillId="23" borderId="143" xfId="0" applyFont="true" applyBorder="true" applyAlignment="true" applyProtection="true">
      <alignment horizontal="right" vertical="center" textRotation="0" wrapText="false" indent="0" shrinkToFit="false"/>
      <protection locked="true" hidden="true"/>
    </xf>
    <xf numFmtId="164" fontId="24" fillId="23" borderId="141" xfId="0" applyFont="true" applyBorder="true" applyAlignment="true" applyProtection="true">
      <alignment horizontal="center" vertical="bottom" textRotation="0" wrapText="false" indent="0" shrinkToFit="false"/>
      <protection locked="false" hidden="true"/>
    </xf>
    <xf numFmtId="164" fontId="24" fillId="23" borderId="144" xfId="0" applyFont="true" applyBorder="true" applyAlignment="true" applyProtection="true">
      <alignment horizontal="center" vertical="bottom" textRotation="0" wrapText="false" indent="0" shrinkToFit="false"/>
      <protection locked="false" hidden="false"/>
    </xf>
    <xf numFmtId="166" fontId="21" fillId="23" borderId="145" xfId="0" applyFont="true" applyBorder="true" applyAlignment="true" applyProtection="false">
      <alignment horizontal="left" vertical="center" textRotation="0" wrapText="false" indent="0" shrinkToFit="false"/>
      <protection locked="true" hidden="false"/>
    </xf>
    <xf numFmtId="171" fontId="21" fillId="2" borderId="0" xfId="0" applyFont="true" applyBorder="false" applyAlignment="false" applyProtection="false">
      <alignment horizontal="general" vertical="bottom" textRotation="0" wrapText="false" indent="0" shrinkToFit="false"/>
      <protection locked="true" hidden="false"/>
    </xf>
    <xf numFmtId="164" fontId="24" fillId="3" borderId="0" xfId="0" applyFont="true" applyBorder="true" applyAlignment="true" applyProtection="true">
      <alignment horizontal="center" vertical="center" textRotation="0" wrapText="false" indent="0" shrinkToFit="false"/>
      <protection locked="true" hidden="true"/>
    </xf>
    <xf numFmtId="164" fontId="51" fillId="3" borderId="0" xfId="0" applyFont="true" applyBorder="false" applyAlignment="true" applyProtection="false">
      <alignment horizontal="left" vertical="center" textRotation="0" wrapText="false" indent="0" shrinkToFit="false"/>
      <protection locked="true" hidden="false"/>
    </xf>
    <xf numFmtId="164" fontId="52" fillId="3" borderId="0" xfId="0" applyFont="true" applyBorder="false" applyAlignment="true" applyProtection="true">
      <alignment horizontal="general" vertical="center" textRotation="0" wrapText="true" indent="0" shrinkToFit="false"/>
      <protection locked="true" hidden="true"/>
    </xf>
    <xf numFmtId="164" fontId="45" fillId="3" borderId="0" xfId="0" applyFont="true" applyBorder="false" applyAlignment="true" applyProtection="false">
      <alignment horizontal="center" vertical="bottom" textRotation="0" wrapText="false" indent="0" shrinkToFit="false"/>
      <protection locked="true" hidden="false"/>
    </xf>
    <xf numFmtId="164" fontId="51" fillId="3" borderId="0" xfId="0" applyFont="true" applyBorder="false" applyAlignment="true" applyProtection="false">
      <alignment horizontal="center" vertical="center" textRotation="0" wrapText="false" indent="0" shrinkToFit="false"/>
      <protection locked="true" hidden="false"/>
    </xf>
    <xf numFmtId="164" fontId="24" fillId="3" borderId="0" xfId="0" applyFont="true" applyBorder="false" applyAlignment="true" applyProtection="true">
      <alignment horizontal="right" vertical="bottom" textRotation="0" wrapText="false" indent="0" shrinkToFit="false"/>
      <protection locked="true" hidden="true"/>
    </xf>
    <xf numFmtId="164" fontId="35" fillId="3" borderId="0" xfId="0" applyFont="true" applyBorder="false" applyAlignment="true" applyProtection="false">
      <alignment horizontal="center" vertical="center" textRotation="0" wrapText="false" indent="0" shrinkToFit="false"/>
      <protection locked="true" hidden="false"/>
    </xf>
    <xf numFmtId="164" fontId="24" fillId="3" borderId="0" xfId="0" applyFont="true" applyBorder="false" applyAlignment="true" applyProtection="false">
      <alignment horizontal="center" vertical="center" textRotation="0" wrapText="false" indent="0" shrinkToFit="false"/>
      <protection locked="true" hidden="false"/>
    </xf>
    <xf numFmtId="171" fontId="21" fillId="2" borderId="0" xfId="0" applyFont="true" applyBorder="false" applyAlignment="false" applyProtection="true">
      <alignment horizontal="general" vertical="bottom" textRotation="0" wrapText="false" indent="0" shrinkToFit="false"/>
      <protection locked="true" hidden="true"/>
    </xf>
    <xf numFmtId="167" fontId="53" fillId="22" borderId="132" xfId="0" applyFont="true" applyBorder="true" applyAlignment="true" applyProtection="true">
      <alignment horizontal="center" vertical="center" textRotation="0" wrapText="false" indent="0" shrinkToFit="false"/>
      <protection locked="true" hidden="true"/>
    </xf>
    <xf numFmtId="164" fontId="24" fillId="23" borderId="133" xfId="0" applyFont="true" applyBorder="true" applyAlignment="true" applyProtection="true">
      <alignment horizontal="center" vertical="center" textRotation="0" wrapText="false" indent="0" shrinkToFit="false"/>
      <protection locked="false" hidden="false"/>
    </xf>
    <xf numFmtId="164" fontId="24" fillId="23" borderId="136" xfId="0" applyFont="true" applyBorder="true" applyAlignment="true" applyProtection="true">
      <alignment horizontal="center" vertical="center" textRotation="0" wrapText="false" indent="0" shrinkToFit="false"/>
      <protection locked="false" hidden="false"/>
    </xf>
    <xf numFmtId="166" fontId="21" fillId="23" borderId="137" xfId="0" applyFont="true" applyBorder="true" applyAlignment="true" applyProtection="false">
      <alignment horizontal="general" vertical="center" textRotation="0" wrapText="false" indent="0" shrinkToFit="false"/>
      <protection locked="true" hidden="false"/>
    </xf>
    <xf numFmtId="164" fontId="27" fillId="3" borderId="0" xfId="0" applyFont="true" applyBorder="false" applyAlignment="true" applyProtection="true">
      <alignment horizontal="center" vertical="bottom" textRotation="0" wrapText="true" indent="0" shrinkToFit="false"/>
      <protection locked="true" hidden="true"/>
    </xf>
    <xf numFmtId="164" fontId="25" fillId="3" borderId="0" xfId="0" applyFont="true" applyBorder="false" applyAlignment="true" applyProtection="true">
      <alignment horizontal="center" vertical="bottom" textRotation="0" wrapText="true" indent="0" shrinkToFit="false"/>
      <protection locked="true" hidden="true"/>
    </xf>
    <xf numFmtId="164" fontId="24" fillId="2" borderId="0" xfId="0" applyFont="true" applyBorder="false" applyAlignment="true" applyProtection="true">
      <alignment horizontal="center" vertical="bottom" textRotation="0" wrapText="true" indent="0" shrinkToFit="false"/>
      <protection locked="true" hidden="true"/>
    </xf>
    <xf numFmtId="164" fontId="24" fillId="23" borderId="141" xfId="0" applyFont="true" applyBorder="true" applyAlignment="true" applyProtection="true">
      <alignment horizontal="center" vertical="center" textRotation="0" wrapText="false" indent="0" shrinkToFit="false"/>
      <protection locked="false" hidden="false"/>
    </xf>
    <xf numFmtId="164" fontId="24" fillId="23" borderId="144" xfId="0" applyFont="true" applyBorder="true" applyAlignment="true" applyProtection="true">
      <alignment horizontal="center" vertical="center" textRotation="0" wrapText="false" indent="0" shrinkToFit="false"/>
      <protection locked="false" hidden="false"/>
    </xf>
    <xf numFmtId="166" fontId="21" fillId="23" borderId="145" xfId="0" applyFont="true" applyBorder="true" applyAlignment="true" applyProtection="false">
      <alignment horizontal="general" vertical="center" textRotation="0" wrapText="false" indent="0" shrinkToFit="false"/>
      <protection locked="true" hidden="false"/>
    </xf>
    <xf numFmtId="164" fontId="21" fillId="2" borderId="0" xfId="0" applyFont="true" applyBorder="false" applyAlignment="true" applyProtection="false">
      <alignment horizontal="left" vertical="bottom" textRotation="0" wrapText="false" indent="1" shrinkToFit="false"/>
      <protection locked="true" hidden="false"/>
    </xf>
    <xf numFmtId="167" fontId="53" fillId="24" borderId="146" xfId="0" applyFont="true" applyBorder="true" applyAlignment="true" applyProtection="true">
      <alignment horizontal="center" vertical="center" textRotation="0" wrapText="false" indent="0" shrinkToFit="false"/>
      <protection locked="true" hidden="true"/>
    </xf>
    <xf numFmtId="167" fontId="29" fillId="25" borderId="147" xfId="0" applyFont="true" applyBorder="true" applyAlignment="true" applyProtection="true">
      <alignment horizontal="center" vertical="center" textRotation="0" wrapText="false" indent="0" shrinkToFit="false"/>
      <protection locked="true" hidden="true"/>
    </xf>
    <xf numFmtId="168" fontId="29" fillId="25" borderId="147" xfId="0" applyFont="true" applyBorder="true" applyAlignment="true" applyProtection="true">
      <alignment horizontal="center" vertical="center" textRotation="0" wrapText="false" indent="0" shrinkToFit="false"/>
      <protection locked="true" hidden="true"/>
    </xf>
    <xf numFmtId="166" fontId="21" fillId="25" borderId="148" xfId="0" applyFont="true" applyBorder="true" applyAlignment="true" applyProtection="true">
      <alignment horizontal="right" vertical="center" textRotation="0" wrapText="false" indent="0" shrinkToFit="false"/>
      <protection locked="true" hidden="true"/>
    </xf>
    <xf numFmtId="164" fontId="24" fillId="25" borderId="147" xfId="0" applyFont="true" applyBorder="true" applyAlignment="true" applyProtection="true">
      <alignment horizontal="center" vertical="center" textRotation="0" wrapText="false" indent="0" shrinkToFit="false"/>
      <protection locked="false" hidden="false"/>
    </xf>
    <xf numFmtId="164" fontId="24" fillId="25" borderId="149" xfId="0" applyFont="true" applyBorder="true" applyAlignment="true" applyProtection="true">
      <alignment horizontal="center" vertical="center" textRotation="0" wrapText="false" indent="0" shrinkToFit="false"/>
      <protection locked="false" hidden="false"/>
    </xf>
    <xf numFmtId="166" fontId="21" fillId="25" borderId="150" xfId="0" applyFont="true" applyBorder="true" applyAlignment="true" applyProtection="false">
      <alignment horizontal="general" vertical="center" textRotation="0" wrapText="false" indent="0" shrinkToFit="false"/>
      <protection locked="true" hidden="false"/>
    </xf>
    <xf numFmtId="164" fontId="42" fillId="3" borderId="0" xfId="0" applyFont="true" applyBorder="false" applyAlignment="true" applyProtection="true">
      <alignment horizontal="center" vertical="center" textRotation="0" wrapText="false" indent="0" shrinkToFit="false"/>
      <protection locked="true" hidden="true"/>
    </xf>
    <xf numFmtId="164" fontId="54" fillId="3" borderId="0" xfId="0" applyFont="true" applyBorder="false" applyAlignment="true" applyProtection="false">
      <alignment horizontal="center" vertical="bottom" textRotation="0" wrapText="false" indent="0" shrinkToFit="false"/>
      <protection locked="true" hidden="false"/>
    </xf>
    <xf numFmtId="164" fontId="55" fillId="3" borderId="0" xfId="0" applyFont="true" applyBorder="false" applyAlignment="true" applyProtection="false">
      <alignment horizontal="center" vertical="center" textRotation="0" wrapText="false" indent="0" shrinkToFit="false"/>
      <protection locked="true" hidden="false"/>
    </xf>
    <xf numFmtId="164" fontId="24" fillId="3" borderId="0" xfId="0" applyFont="true" applyBorder="false" applyAlignment="true" applyProtection="true">
      <alignment horizontal="left" vertical="center" textRotation="0" wrapText="false" indent="0" shrinkToFit="false"/>
      <protection locked="true" hidden="true"/>
    </xf>
    <xf numFmtId="164" fontId="54" fillId="3" borderId="0" xfId="0" applyFont="true" applyBorder="false" applyAlignment="true" applyProtection="true">
      <alignment horizontal="center" vertical="bottom" textRotation="0" wrapText="false" indent="0" shrinkToFit="false"/>
      <protection locked="true" hidden="true"/>
    </xf>
    <xf numFmtId="164" fontId="56" fillId="26" borderId="151" xfId="0" applyFont="true" applyBorder="true" applyAlignment="true" applyProtection="true">
      <alignment horizontal="left" vertical="center" textRotation="0" wrapText="false" indent="0" shrinkToFit="false"/>
      <protection locked="true" hidden="true"/>
    </xf>
    <xf numFmtId="164" fontId="57" fillId="26" borderId="152" xfId="0" applyFont="true" applyBorder="true" applyAlignment="true" applyProtection="true">
      <alignment horizontal="left" vertical="center" textRotation="0" wrapText="false" indent="0" shrinkToFit="false"/>
      <protection locked="true" hidden="true"/>
    </xf>
    <xf numFmtId="164" fontId="57" fillId="26" borderId="153" xfId="0" applyFont="true" applyBorder="true" applyAlignment="true" applyProtection="true">
      <alignment horizontal="left" vertical="center" textRotation="0" wrapText="false" indent="0" shrinkToFit="false"/>
      <protection locked="true" hidden="true"/>
    </xf>
    <xf numFmtId="166" fontId="57" fillId="26" borderId="154" xfId="0" applyFont="true" applyBorder="true" applyAlignment="true" applyProtection="false">
      <alignment horizontal="left" vertical="center" textRotation="0" wrapText="false" indent="0" shrinkToFit="false"/>
      <protection locked="true" hidden="false"/>
    </xf>
    <xf numFmtId="166" fontId="58" fillId="27" borderId="155" xfId="0" applyFont="true" applyBorder="true" applyAlignment="true" applyProtection="true">
      <alignment horizontal="center" vertical="center" textRotation="0" wrapText="true" indent="0" shrinkToFit="false"/>
      <protection locked="true" hidden="true"/>
    </xf>
    <xf numFmtId="164" fontId="26" fillId="25" borderId="156" xfId="0" applyFont="true" applyBorder="true" applyAlignment="true" applyProtection="true">
      <alignment horizontal="left" vertical="center" textRotation="0" wrapText="false" indent="0" shrinkToFit="false"/>
      <protection locked="true" hidden="true"/>
    </xf>
    <xf numFmtId="164" fontId="59" fillId="25" borderId="0" xfId="0" applyFont="true" applyBorder="false" applyAlignment="true" applyProtection="true">
      <alignment horizontal="left" vertical="center" textRotation="0" wrapText="false" indent="0" shrinkToFit="false"/>
      <protection locked="true" hidden="true"/>
    </xf>
    <xf numFmtId="164" fontId="59" fillId="25" borderId="9" xfId="0" applyFont="true" applyBorder="true" applyAlignment="true" applyProtection="true">
      <alignment horizontal="left" vertical="center" textRotation="0" wrapText="false" indent="0" shrinkToFit="false"/>
      <protection locked="true" hidden="true"/>
    </xf>
    <xf numFmtId="166" fontId="59" fillId="25" borderId="157" xfId="0" applyFont="true" applyBorder="true" applyAlignment="true" applyProtection="false">
      <alignment horizontal="left" vertical="center" textRotation="0" wrapText="false" indent="0" shrinkToFit="false"/>
      <protection locked="true" hidden="false"/>
    </xf>
    <xf numFmtId="164" fontId="26" fillId="25" borderId="158" xfId="0" applyFont="true" applyBorder="true" applyAlignment="true" applyProtection="true">
      <alignment horizontal="left" vertical="center" textRotation="0" wrapText="false" indent="0" shrinkToFit="false"/>
      <protection locked="true" hidden="true"/>
    </xf>
    <xf numFmtId="164" fontId="59" fillId="25" borderId="159" xfId="0" applyFont="true" applyBorder="true" applyAlignment="true" applyProtection="true">
      <alignment horizontal="left" vertical="center" textRotation="0" wrapText="false" indent="0" shrinkToFit="false"/>
      <protection locked="true" hidden="true"/>
    </xf>
    <xf numFmtId="164" fontId="59" fillId="25" borderId="160" xfId="0" applyFont="true" applyBorder="true" applyAlignment="true" applyProtection="true">
      <alignment horizontal="left" vertical="center" textRotation="0" wrapText="false" indent="0" shrinkToFit="false"/>
      <protection locked="true" hidden="true"/>
    </xf>
    <xf numFmtId="166" fontId="59" fillId="25" borderId="161"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false" applyAlignment="true" applyProtection="true">
      <alignment horizontal="general" vertical="center" textRotation="0" wrapText="false" indent="0" shrinkToFit="false"/>
      <protection locked="true" hidden="true"/>
    </xf>
    <xf numFmtId="164" fontId="0" fillId="3" borderId="0" xfId="0" applyFont="false" applyBorder="false" applyAlignment="true" applyProtection="true">
      <alignment horizontal="left" vertical="center" textRotation="0" wrapText="false" indent="0" shrinkToFit="false"/>
      <protection locked="true" hidden="true"/>
    </xf>
    <xf numFmtId="164" fontId="25" fillId="3" borderId="0" xfId="0" applyFont="true" applyBorder="false" applyAlignment="true" applyProtection="true">
      <alignment horizontal="left" vertical="center" textRotation="0" wrapText="false" indent="0" shrinkToFit="false"/>
      <protection locked="true" hidden="true"/>
    </xf>
    <xf numFmtId="166" fontId="60" fillId="27" borderId="162" xfId="0" applyFont="true" applyBorder="true" applyAlignment="true" applyProtection="false">
      <alignment horizontal="center" vertical="center" textRotation="0" wrapText="true" indent="0" shrinkToFit="false"/>
      <protection locked="true" hidden="false"/>
    </xf>
    <xf numFmtId="164" fontId="62" fillId="26" borderId="152" xfId="0" applyFont="true" applyBorder="true" applyAlignment="true" applyProtection="true">
      <alignment horizontal="left" vertical="center" textRotation="0" wrapText="false" indent="0" shrinkToFit="false"/>
      <protection locked="true" hidden="true"/>
    </xf>
    <xf numFmtId="164" fontId="57" fillId="26" borderId="154" xfId="0" applyFont="true" applyBorder="true" applyAlignment="true" applyProtection="true">
      <alignment horizontal="left" vertical="center" textRotation="0" wrapText="false" indent="0" shrinkToFit="false"/>
      <protection locked="false" hidden="true"/>
    </xf>
    <xf numFmtId="164" fontId="59" fillId="25" borderId="157" xfId="0" applyFont="true" applyBorder="true" applyAlignment="true" applyProtection="true">
      <alignment horizontal="left" vertical="center" textRotation="0" wrapText="false" indent="0" shrinkToFit="false"/>
      <protection locked="false" hidden="true"/>
    </xf>
    <xf numFmtId="164" fontId="59" fillId="25" borderId="161" xfId="0" applyFont="true" applyBorder="true" applyAlignment="true" applyProtection="true">
      <alignment horizontal="left" vertical="center" textRotation="0" wrapText="false" indent="0" shrinkToFit="false"/>
      <protection locked="false" hidden="true"/>
    </xf>
    <xf numFmtId="164" fontId="63" fillId="3" borderId="0" xfId="0" applyFont="true" applyBorder="false" applyAlignment="true" applyProtection="true">
      <alignment horizontal="general" vertical="center" textRotation="0" wrapText="false" indent="0" shrinkToFit="false"/>
      <protection locked="true" hidden="true"/>
    </xf>
    <xf numFmtId="164" fontId="63" fillId="3" borderId="0" xfId="0" applyFont="true" applyBorder="false" applyAlignment="true" applyProtection="true">
      <alignment horizontal="left" vertical="center" textRotation="0" wrapText="false" indent="0" shrinkToFit="false"/>
      <protection locked="true" hidden="true"/>
    </xf>
    <xf numFmtId="164" fontId="64" fillId="3" borderId="0" xfId="0" applyFont="true" applyBorder="false" applyAlignment="true" applyProtection="true">
      <alignment horizontal="center" vertical="bottom" textRotation="0" wrapText="false" indent="0" shrinkToFit="false"/>
      <protection locked="true" hidden="true"/>
    </xf>
    <xf numFmtId="164" fontId="65" fillId="28" borderId="163" xfId="0" applyFont="true" applyBorder="true" applyAlignment="true" applyProtection="true">
      <alignment horizontal="general" vertical="center" textRotation="0" wrapText="false" indent="0" shrinkToFit="false"/>
      <protection locked="true" hidden="true"/>
    </xf>
    <xf numFmtId="164" fontId="66" fillId="28" borderId="164" xfId="0" applyFont="true" applyBorder="true" applyAlignment="true" applyProtection="true">
      <alignment horizontal="general" vertical="center" textRotation="0" wrapText="false" indent="0" shrinkToFit="false"/>
      <protection locked="true" hidden="true"/>
    </xf>
    <xf numFmtId="164" fontId="66" fillId="28" borderId="165" xfId="0" applyFont="true" applyBorder="true" applyAlignment="true" applyProtection="true">
      <alignment horizontal="general" vertical="center" textRotation="0" wrapText="false" indent="0" shrinkToFit="false"/>
      <protection locked="true" hidden="true"/>
    </xf>
    <xf numFmtId="164" fontId="67" fillId="27" borderId="166" xfId="0" applyFont="true" applyBorder="true" applyAlignment="true" applyProtection="true">
      <alignment horizontal="center" vertical="center" textRotation="0" wrapText="false" indent="0" shrinkToFit="false"/>
      <protection locked="false" hidden="false"/>
    </xf>
    <xf numFmtId="164" fontId="20" fillId="0" borderId="0" xfId="0" applyFont="true" applyBorder="false" applyAlignment="false" applyProtection="true">
      <alignment horizontal="general" vertical="bottom" textRotation="0" wrapText="false" indent="0" shrinkToFit="false"/>
      <protection locked="true" hidden="true"/>
    </xf>
    <xf numFmtId="164" fontId="2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tru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true"/>
    </xf>
    <xf numFmtId="172" fontId="24" fillId="2" borderId="0" xfId="0" applyFont="true" applyBorder="false" applyAlignment="false" applyProtection="true">
      <alignment horizontal="general" vertical="bottom" textRotation="0" wrapText="false" indent="0" shrinkToFit="false"/>
      <protection locked="true" hidden="true"/>
    </xf>
    <xf numFmtId="164" fontId="0" fillId="29" borderId="0" xfId="0" applyFont="true" applyBorder="false" applyAlignment="false" applyProtection="true">
      <alignment horizontal="general" vertical="bottom" textRotation="0" wrapText="false" indent="0" shrinkToFit="false"/>
      <protection locked="true" hidden="true"/>
    </xf>
    <xf numFmtId="164" fontId="56" fillId="19" borderId="0" xfId="0" applyFont="true" applyBorder="true" applyAlignment="true" applyProtection="true">
      <alignment horizontal="center" vertical="center" textRotation="0" wrapText="false" indent="0" shrinkToFit="false"/>
      <protection locked="true" hidden="true"/>
    </xf>
    <xf numFmtId="164" fontId="69" fillId="0" borderId="0" xfId="0" applyFont="true" applyBorder="false" applyAlignment="false" applyProtection="true">
      <alignment horizontal="general" vertical="bottom" textRotation="0" wrapText="false" indent="0" shrinkToFit="false"/>
      <protection locked="true" hidden="true"/>
    </xf>
    <xf numFmtId="166" fontId="0" fillId="30" borderId="167" xfId="0" applyFont="false" applyBorder="true" applyAlignment="false" applyProtection="true">
      <alignment horizontal="general" vertical="bottom" textRotation="0" wrapText="false" indent="0" shrinkToFit="false"/>
      <protection locked="true" hidden="true"/>
    </xf>
    <xf numFmtId="164" fontId="70" fillId="31" borderId="9" xfId="0" applyFont="true" applyBorder="true" applyAlignment="true" applyProtection="false">
      <alignment horizontal="left" vertical="center" textRotation="0" wrapText="true" indent="0" shrinkToFit="false"/>
      <protection locked="true" hidden="false"/>
    </xf>
    <xf numFmtId="164" fontId="21" fillId="32" borderId="0" xfId="0" applyFont="true" applyBorder="false" applyAlignment="true" applyProtection="true">
      <alignment horizontal="center" vertical="center" textRotation="0" wrapText="false" indent="0" shrinkToFit="false"/>
      <protection locked="true" hidden="true"/>
    </xf>
    <xf numFmtId="164" fontId="70" fillId="33" borderId="168" xfId="0" applyFont="true" applyBorder="true" applyAlignment="true" applyProtection="false">
      <alignment horizontal="left" vertical="center" textRotation="0" wrapText="true" indent="0" shrinkToFit="false"/>
      <protection locked="true" hidden="false"/>
    </xf>
    <xf numFmtId="164" fontId="0" fillId="31" borderId="169" xfId="0" applyFont="false" applyBorder="true" applyAlignment="false" applyProtection="false">
      <alignment horizontal="general" vertical="bottom" textRotation="0" wrapText="false" indent="0" shrinkToFit="false"/>
      <protection locked="true" hidden="false"/>
    </xf>
    <xf numFmtId="164" fontId="70" fillId="34" borderId="170" xfId="0" applyFont="true" applyBorder="true" applyAlignment="true" applyProtection="false">
      <alignment horizontal="left" vertical="center" textRotation="0" wrapText="true" indent="0" shrinkToFit="false"/>
      <protection locked="true" hidden="false"/>
    </xf>
    <xf numFmtId="164" fontId="0" fillId="34" borderId="170" xfId="0" applyFont="false" applyBorder="true" applyAlignment="false" applyProtection="false">
      <alignment horizontal="general" vertical="bottom" textRotation="0" wrapText="false" indent="0" shrinkToFit="false"/>
      <protection locked="true" hidden="false"/>
    </xf>
    <xf numFmtId="164" fontId="0" fillId="33" borderId="169" xfId="0" applyFont="false" applyBorder="true" applyAlignment="false" applyProtection="false">
      <alignment horizontal="general" vertical="bottom" textRotation="0" wrapText="false" indent="0" shrinkToFit="false"/>
      <protection locked="true" hidden="false"/>
    </xf>
    <xf numFmtId="164" fontId="24" fillId="5" borderId="0" xfId="0" applyFont="true" applyBorder="false" applyAlignment="true" applyProtection="true">
      <alignment horizontal="center" vertical="center" textRotation="0" wrapText="false" indent="0" shrinkToFit="false"/>
      <protection locked="true" hidden="true"/>
    </xf>
    <xf numFmtId="166" fontId="0" fillId="0" borderId="0" xfId="0" applyFont="false" applyBorder="false" applyAlignment="false" applyProtection="true">
      <alignment horizontal="general" vertical="bottom" textRotation="0" wrapText="false" indent="0" shrinkToFit="false"/>
      <protection locked="false" hidden="true"/>
    </xf>
    <xf numFmtId="164" fontId="71" fillId="21" borderId="0" xfId="0" applyFont="true" applyBorder="true" applyAlignment="true" applyProtection="false">
      <alignment horizontal="center" vertical="top" textRotation="0" wrapText="false" indent="0" shrinkToFit="false"/>
      <protection locked="true" hidden="false"/>
    </xf>
    <xf numFmtId="164" fontId="0" fillId="34" borderId="171" xfId="0" applyFont="true" applyBorder="true" applyAlignment="true" applyProtection="false">
      <alignment horizontal="left" vertical="center" textRotation="0" wrapText="true" indent="0" shrinkToFit="false"/>
      <protection locked="true" hidden="false"/>
    </xf>
    <xf numFmtId="164" fontId="0" fillId="34" borderId="172" xfId="0" applyFont="false" applyBorder="true" applyAlignment="true" applyProtection="false">
      <alignment horizontal="left" vertical="center" textRotation="0" wrapText="true" indent="0" shrinkToFit="false"/>
      <protection locked="true" hidden="false"/>
    </xf>
    <xf numFmtId="164" fontId="0" fillId="34" borderId="9" xfId="0" applyFont="false" applyBorder="true" applyAlignment="true" applyProtection="false">
      <alignment horizontal="left" vertical="center" textRotation="0" wrapText="true" indent="0" shrinkToFit="false"/>
      <protection locked="true" hidden="false"/>
    </xf>
    <xf numFmtId="164" fontId="24" fillId="8" borderId="0" xfId="0" applyFont="true" applyBorder="false" applyAlignment="true" applyProtection="true">
      <alignment horizontal="center" vertical="center" textRotation="0" wrapText="false" indent="0" shrinkToFit="false"/>
      <protection locked="true" hidden="true"/>
    </xf>
    <xf numFmtId="164" fontId="24" fillId="10" borderId="0" xfId="0" applyFont="true" applyBorder="false" applyAlignment="true" applyProtection="true">
      <alignment horizontal="center" vertical="center" textRotation="0" wrapText="false" indent="0" shrinkToFit="false"/>
      <protection locked="true" hidden="true"/>
    </xf>
    <xf numFmtId="164" fontId="24" fillId="18" borderId="0" xfId="0" applyFont="true" applyBorder="false" applyAlignment="true" applyProtection="true">
      <alignment horizontal="center" vertical="center" textRotation="0" wrapText="false" indent="0" shrinkToFit="false"/>
      <protection locked="true" hidden="true"/>
    </xf>
    <xf numFmtId="164" fontId="71" fillId="35" borderId="0" xfId="0" applyFont="true" applyBorder="true" applyAlignment="true" applyProtection="false">
      <alignment horizontal="center" vertical="top" textRotation="0" wrapText="false" indent="0" shrinkToFit="false"/>
      <protection locked="true" hidden="false"/>
    </xf>
    <xf numFmtId="164" fontId="0" fillId="34" borderId="8" xfId="0" applyFont="true" applyBorder="true" applyAlignment="true" applyProtection="false">
      <alignment horizontal="left" vertical="center" textRotation="0" wrapText="true" indent="0" shrinkToFit="false"/>
      <protection locked="true" hidden="false"/>
    </xf>
    <xf numFmtId="164" fontId="71" fillId="36" borderId="0" xfId="0" applyFont="true" applyBorder="true" applyAlignment="true" applyProtection="false">
      <alignment horizontal="center" vertical="top" textRotation="0" wrapText="false" indent="0" shrinkToFit="false"/>
      <protection locked="true" hidden="false"/>
    </xf>
    <xf numFmtId="167" fontId="28" fillId="5" borderId="0" xfId="0" applyFont="true" applyBorder="true" applyAlignment="true" applyProtection="true">
      <alignment horizontal="center" vertical="center" textRotation="2" wrapText="false" indent="0" shrinkToFit="false"/>
      <protection locked="true" hidden="true"/>
    </xf>
    <xf numFmtId="164" fontId="28" fillId="8" borderId="0" xfId="0" applyFont="true" applyBorder="true" applyAlignment="true" applyProtection="true">
      <alignment horizontal="center" vertical="center" textRotation="0" wrapText="false" indent="0" shrinkToFit="false"/>
      <protection locked="true" hidden="true"/>
    </xf>
    <xf numFmtId="164" fontId="28" fillId="10" borderId="0" xfId="0" applyFont="true" applyBorder="true" applyAlignment="true" applyProtection="true">
      <alignment horizontal="center" vertical="center" textRotation="0" wrapText="false" indent="0" shrinkToFit="false"/>
      <protection locked="true" hidden="true"/>
    </xf>
    <xf numFmtId="164" fontId="28" fillId="12" borderId="0" xfId="0" applyFont="true" applyBorder="true" applyAlignment="true" applyProtection="true">
      <alignment horizontal="center" vertical="center" textRotation="0" wrapText="false" indent="0" shrinkToFit="false"/>
      <protection locked="true" hidden="true"/>
    </xf>
    <xf numFmtId="164" fontId="28" fillId="14" borderId="0" xfId="0" applyFont="true" applyBorder="true" applyAlignment="true" applyProtection="true">
      <alignment horizontal="center" vertical="center" textRotation="0" wrapText="false" indent="0" shrinkToFit="false"/>
      <protection locked="true" hidden="true"/>
    </xf>
    <xf numFmtId="164" fontId="28" fillId="16" borderId="0" xfId="0" applyFont="true" applyBorder="true" applyAlignment="true" applyProtection="true">
      <alignment horizontal="center" vertical="center" textRotation="0" wrapText="false" indent="0" shrinkToFit="false"/>
      <protection locked="true" hidden="true"/>
    </xf>
    <xf numFmtId="164" fontId="28" fillId="18" borderId="0" xfId="0" applyFont="true" applyBorder="true" applyAlignment="true" applyProtection="true">
      <alignment horizontal="center" vertical="center" textRotation="0" wrapText="false" indent="0" shrinkToFit="false"/>
      <protection locked="true" hidden="true"/>
    </xf>
    <xf numFmtId="164" fontId="28" fillId="20" borderId="0" xfId="0" applyFont="true" applyBorder="true" applyAlignment="true" applyProtection="true">
      <alignment horizontal="center" vertical="center" textRotation="0" wrapText="false" indent="0" shrinkToFit="false"/>
      <protection locked="true" hidden="true"/>
    </xf>
    <xf numFmtId="167" fontId="50" fillId="22" borderId="0" xfId="0" applyFont="true" applyBorder="true" applyAlignment="true" applyProtection="true">
      <alignment horizontal="center" vertical="center" textRotation="0" wrapText="false" indent="0" shrinkToFit="false"/>
      <protection locked="true" hidden="true"/>
    </xf>
    <xf numFmtId="164" fontId="0" fillId="34" borderId="173" xfId="0" applyFont="false" applyBorder="true" applyAlignment="true" applyProtection="false">
      <alignment horizontal="left" vertical="center" textRotation="0" wrapText="true" indent="0" shrinkToFit="false"/>
      <protection locked="true" hidden="false"/>
    </xf>
    <xf numFmtId="164" fontId="70" fillId="33" borderId="10" xfId="0" applyFont="true" applyBorder="true" applyAlignment="true" applyProtection="false">
      <alignment horizontal="left" vertical="center" textRotation="0" wrapText="true" indent="0" shrinkToFit="false"/>
      <protection locked="true" hidden="false"/>
    </xf>
    <xf numFmtId="164" fontId="70" fillId="0" borderId="0" xfId="0" applyFont="true" applyBorder="false" applyAlignment="true" applyProtection="false">
      <alignment horizontal="general" vertical="center" textRotation="0" wrapText="true" indent="0" shrinkToFit="false"/>
      <protection locked="true" hidden="false"/>
    </xf>
    <xf numFmtId="164" fontId="70" fillId="34" borderId="140" xfId="0" applyFont="true" applyBorder="true" applyAlignment="true" applyProtection="false">
      <alignment horizontal="left" vertical="center" textRotation="0" wrapText="true" indent="0" shrinkToFit="false"/>
      <protection locked="true" hidden="false"/>
    </xf>
    <xf numFmtId="164" fontId="70" fillId="33" borderId="0" xfId="0" applyFont="true" applyBorder="false" applyAlignment="true" applyProtection="false">
      <alignment horizontal="general" vertical="center" textRotation="0" wrapText="true" indent="0" shrinkToFit="false"/>
      <protection locked="true" hidden="false"/>
    </xf>
    <xf numFmtId="167" fontId="28" fillId="22" borderId="0" xfId="0" applyFont="true" applyBorder="true" applyAlignment="true" applyProtection="true">
      <alignment horizontal="center" vertical="top" textRotation="0" wrapText="false" indent="0" shrinkToFit="false"/>
      <protection locked="true" hidden="true"/>
    </xf>
    <xf numFmtId="164" fontId="0" fillId="34" borderId="0" xfId="0" applyFont="false" applyBorder="false" applyAlignment="true" applyProtection="false">
      <alignment horizontal="left" vertical="center" textRotation="0" wrapText="true" indent="0" shrinkToFit="false"/>
      <protection locked="true" hidden="false"/>
    </xf>
    <xf numFmtId="164" fontId="0" fillId="2" borderId="174" xfId="0" applyFont="false" applyBorder="true" applyAlignment="false" applyProtection="false">
      <alignment horizontal="general" vertical="bottom" textRotation="0" wrapText="false" indent="0" shrinkToFit="false"/>
      <protection locked="true" hidden="false"/>
    </xf>
    <xf numFmtId="164" fontId="0" fillId="2" borderId="175" xfId="0" applyFont="false" applyBorder="true" applyAlignment="true" applyProtection="false">
      <alignment horizontal="left" vertical="center" textRotation="0" wrapText="true" indent="0" shrinkToFit="false"/>
      <protection locked="true" hidden="false"/>
    </xf>
    <xf numFmtId="164" fontId="0" fillId="2" borderId="0" xfId="0" applyFont="false" applyBorder="false" applyAlignment="true" applyProtection="false">
      <alignment horizontal="left" vertical="center" textRotation="0" wrapText="true" indent="0" shrinkToFit="false"/>
      <protection locked="true" hidden="false"/>
    </xf>
    <xf numFmtId="167" fontId="53" fillId="22" borderId="0" xfId="0" applyFont="true" applyBorder="true" applyAlignment="true" applyProtection="true">
      <alignment horizontal="center" vertical="center" textRotation="0" wrapText="false" indent="0" shrinkToFit="false"/>
      <protection locked="true" hidden="true"/>
    </xf>
    <xf numFmtId="164" fontId="0" fillId="34" borderId="8" xfId="0" applyFont="true" applyBorder="true" applyAlignment="true" applyProtection="false">
      <alignment horizontal="center" vertical="center" textRotation="0" wrapText="true" indent="0" shrinkToFit="false"/>
      <protection locked="true" hidden="false"/>
    </xf>
    <xf numFmtId="164" fontId="0" fillId="2" borderId="176" xfId="0" applyFont="false" applyBorder="true" applyAlignment="false" applyProtection="false">
      <alignment horizontal="general" vertical="bottom" textRotation="0" wrapText="false" indent="0" shrinkToFit="false"/>
      <protection locked="true" hidden="false"/>
    </xf>
    <xf numFmtId="164" fontId="0" fillId="34" borderId="177" xfId="0" applyFont="false" applyBorder="true" applyAlignment="true" applyProtection="false">
      <alignment horizontal="left" vertical="center" textRotation="0" wrapText="true" indent="0" shrinkToFit="false"/>
      <protection locked="true" hidden="false"/>
    </xf>
    <xf numFmtId="167" fontId="28" fillId="24" borderId="168" xfId="0" applyFont="true" applyBorder="true" applyAlignment="true" applyProtection="true">
      <alignment horizontal="center" vertical="top" textRotation="0" wrapText="true" indent="0" shrinkToFit="false"/>
      <protection locked="true" hidden="true"/>
    </xf>
    <xf numFmtId="167" fontId="53" fillId="24" borderId="0" xfId="0" applyFont="true" applyBorder="false" applyAlignment="true" applyProtection="true">
      <alignment horizontal="center" vertical="center" textRotation="0" wrapText="false" indent="0" shrinkToFit="false"/>
      <protection locked="true" hidden="true"/>
    </xf>
    <xf numFmtId="164" fontId="0" fillId="2" borderId="178" xfId="0" applyFont="false" applyBorder="true" applyAlignment="false" applyProtection="false">
      <alignment horizontal="general" vertical="bottom" textRotation="0" wrapText="false" indent="0" shrinkToFit="false"/>
      <protection locked="true" hidden="false"/>
    </xf>
    <xf numFmtId="164" fontId="57" fillId="26" borderId="0" xfId="0" applyFont="true" applyBorder="false" applyAlignment="true" applyProtection="true">
      <alignment horizontal="left" vertical="center" textRotation="0" wrapText="false" indent="0" shrinkToFit="false"/>
      <protection locked="true" hidden="true"/>
    </xf>
    <xf numFmtId="164" fontId="0" fillId="2" borderId="179" xfId="0" applyFont="false" applyBorder="true" applyAlignment="false" applyProtection="false">
      <alignment horizontal="general" vertical="bottom" textRotation="0" wrapText="false" indent="0" shrinkToFit="false"/>
      <protection locked="true" hidden="false"/>
    </xf>
    <xf numFmtId="164" fontId="0" fillId="2" borderId="180" xfId="0" applyFont="false" applyBorder="true" applyAlignment="false" applyProtection="false">
      <alignment horizontal="general" vertical="bottom" textRotation="0" wrapText="false" indent="0" shrinkToFit="false"/>
      <protection locked="true" hidden="false"/>
    </xf>
    <xf numFmtId="164" fontId="70" fillId="33" borderId="180" xfId="0" applyFont="true" applyBorder="true" applyAlignment="true" applyProtection="false">
      <alignment horizontal="general" vertical="center" textRotation="0" wrapText="true" indent="0" shrinkToFit="false"/>
      <protection locked="true" hidden="false"/>
    </xf>
    <xf numFmtId="164" fontId="0" fillId="26" borderId="175" xfId="0" applyFont="true" applyBorder="true" applyAlignment="true" applyProtection="true">
      <alignment horizontal="center" vertical="center" textRotation="0" wrapText="true" indent="0" shrinkToFit="false"/>
      <protection locked="true" hidden="true"/>
    </xf>
    <xf numFmtId="164" fontId="0" fillId="26" borderId="0" xfId="0" applyFont="false" applyBorder="false" applyAlignment="true" applyProtection="true">
      <alignment horizontal="general" vertical="center" textRotation="0" wrapText="true" indent="0" shrinkToFit="false"/>
      <protection locked="true" hidden="true"/>
    </xf>
    <xf numFmtId="164" fontId="0" fillId="26" borderId="9" xfId="0" applyFont="false" applyBorder="true" applyAlignment="true" applyProtection="true">
      <alignment horizontal="general" vertical="center" textRotation="0" wrapText="true" indent="0" shrinkToFit="false"/>
      <protection locked="true" hidden="true"/>
    </xf>
    <xf numFmtId="164" fontId="0" fillId="2" borderId="181" xfId="0" applyFont="false" applyBorder="true" applyAlignment="false" applyProtection="false">
      <alignment horizontal="general" vertical="bottom" textRotation="0" wrapText="false" indent="0" shrinkToFit="false"/>
      <protection locked="true" hidden="false"/>
    </xf>
    <xf numFmtId="164" fontId="25" fillId="2" borderId="0" xfId="0" applyFont="true" applyBorder="false" applyAlignment="false" applyProtection="false">
      <alignment horizontal="general" vertical="bottom" textRotation="0" wrapText="false" indent="0" shrinkToFit="false"/>
      <protection locked="true" hidden="false"/>
    </xf>
    <xf numFmtId="173" fontId="25" fillId="2" borderId="0" xfId="0" applyFont="true" applyBorder="false" applyAlignment="false" applyProtection="false">
      <alignment horizontal="general" vertical="bottom" textRotation="0" wrapText="false" indent="0" shrinkToFit="false"/>
      <protection locked="true" hidden="false"/>
    </xf>
    <xf numFmtId="164" fontId="24" fillId="6" borderId="182" xfId="0" applyFont="true" applyBorder="true" applyAlignment="true" applyProtection="false">
      <alignment horizontal="center" vertical="center" textRotation="0" wrapText="false" indent="0" shrinkToFit="false"/>
      <protection locked="true" hidden="false"/>
    </xf>
    <xf numFmtId="166" fontId="0" fillId="0" borderId="183" xfId="0" applyFont="false" applyBorder="true" applyAlignment="true" applyProtection="false">
      <alignment horizontal="left" vertical="bottom" textRotation="0" wrapText="false" indent="0" shrinkToFit="false"/>
      <protection locked="true" hidden="false"/>
    </xf>
    <xf numFmtId="166" fontId="0" fillId="0" borderId="184" xfId="0" applyFont="false" applyBorder="true" applyAlignment="true" applyProtection="false">
      <alignment horizontal="center" vertical="bottom" textRotation="0" wrapText="false" indent="0" shrinkToFit="false"/>
      <protection locked="true" hidden="false"/>
    </xf>
    <xf numFmtId="166" fontId="0" fillId="0" borderId="184" xfId="0" applyFont="false" applyBorder="true" applyAlignment="false" applyProtection="false">
      <alignment horizontal="general" vertical="bottom" textRotation="0" wrapText="false" indent="0" shrinkToFit="false"/>
      <protection locked="true" hidden="false"/>
    </xf>
    <xf numFmtId="164" fontId="0" fillId="2" borderId="185" xfId="0" applyFont="false" applyBorder="true" applyAlignment="false" applyProtection="false">
      <alignment horizontal="general" vertical="bottom" textRotation="0" wrapText="false" indent="0" shrinkToFit="false"/>
      <protection locked="true" hidden="false"/>
    </xf>
    <xf numFmtId="164" fontId="24" fillId="6" borderId="184" xfId="0" applyFont="true" applyBorder="true" applyAlignment="true" applyProtection="false">
      <alignment horizontal="left" vertical="center" textRotation="0" wrapText="false" indent="0" shrinkToFit="false"/>
      <protection locked="true" hidden="false"/>
    </xf>
    <xf numFmtId="164" fontId="24" fillId="6" borderId="184" xfId="0" applyFont="true" applyBorder="true" applyAlignment="true" applyProtection="false">
      <alignment horizontal="center" vertical="center" textRotation="0" wrapText="false" indent="0" shrinkToFit="false"/>
      <protection locked="true" hidden="false"/>
    </xf>
    <xf numFmtId="164" fontId="24" fillId="6" borderId="186" xfId="0" applyFont="true" applyBorder="true" applyAlignment="true" applyProtection="false">
      <alignment horizontal="center" vertical="center" textRotation="0" wrapText="false" indent="0" shrinkToFit="false"/>
      <protection locked="true" hidden="false"/>
    </xf>
    <xf numFmtId="164" fontId="0" fillId="37" borderId="0" xfId="0" applyFont="false" applyBorder="false" applyAlignment="false" applyProtection="false">
      <alignment horizontal="general" vertical="bottom" textRotation="0" wrapText="false" indent="0" shrinkToFit="false"/>
      <protection locked="true" hidden="false"/>
    </xf>
    <xf numFmtId="164" fontId="0" fillId="38" borderId="0" xfId="0" applyFont="false" applyBorder="false" applyAlignment="false" applyProtection="false">
      <alignment horizontal="general" vertical="bottom" textRotation="0" wrapText="false" indent="0" shrinkToFit="false"/>
      <protection locked="true" hidden="false"/>
    </xf>
    <xf numFmtId="164" fontId="0" fillId="39"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24" fillId="15" borderId="187" xfId="0" applyFont="true" applyBorder="true" applyAlignment="true" applyProtection="false">
      <alignment horizontal="center" vertical="bottom" textRotation="0" wrapText="false" indent="0" shrinkToFit="false"/>
      <protection locked="true" hidden="false"/>
    </xf>
    <xf numFmtId="166" fontId="0" fillId="0" borderId="188" xfId="0" applyFont="false" applyBorder="true" applyAlignment="true" applyProtection="false">
      <alignment horizontal="left" vertical="bottom" textRotation="0" wrapText="false" indent="0" shrinkToFit="false"/>
      <protection locked="true" hidden="false"/>
    </xf>
    <xf numFmtId="166" fontId="0" fillId="0" borderId="189" xfId="0" applyFont="false" applyBorder="true" applyAlignment="true" applyProtection="false">
      <alignment horizontal="center" vertical="bottom" textRotation="0" wrapText="false" indent="0" shrinkToFit="false"/>
      <protection locked="true" hidden="false"/>
    </xf>
    <xf numFmtId="166" fontId="0" fillId="0" borderId="189" xfId="0" applyFont="false" applyBorder="true" applyAlignment="false" applyProtection="false">
      <alignment horizontal="general" vertical="bottom" textRotation="0" wrapText="false" indent="0" shrinkToFit="false"/>
      <protection locked="true" hidden="false"/>
    </xf>
    <xf numFmtId="164" fontId="0" fillId="2" borderId="190" xfId="0" applyFont="false" applyBorder="true" applyAlignment="false" applyProtection="false">
      <alignment horizontal="general" vertical="bottom" textRotation="0" wrapText="false" indent="0" shrinkToFit="false"/>
      <protection locked="true" hidden="false"/>
    </xf>
    <xf numFmtId="164" fontId="24" fillId="15" borderId="189" xfId="0" applyFont="true" applyBorder="true" applyAlignment="true" applyProtection="false">
      <alignment horizontal="left" vertical="center" textRotation="0" wrapText="false" indent="0" shrinkToFit="false"/>
      <protection locked="true" hidden="false"/>
    </xf>
    <xf numFmtId="164" fontId="24" fillId="15" borderId="189" xfId="0" applyFont="true" applyBorder="true" applyAlignment="true" applyProtection="false">
      <alignment horizontal="center" vertical="center" textRotation="0" wrapText="false" indent="0" shrinkToFit="false"/>
      <protection locked="true" hidden="false"/>
    </xf>
    <xf numFmtId="164" fontId="24" fillId="15" borderId="191" xfId="0" applyFont="true" applyBorder="true" applyAlignment="true" applyProtection="false">
      <alignment horizontal="center" vertical="center" textRotation="0" wrapText="false" indent="0" shrinkToFit="false"/>
      <protection locked="true" hidden="false"/>
    </xf>
    <xf numFmtId="166" fontId="0" fillId="0" borderId="192" xfId="0" applyFont="false" applyBorder="true" applyAlignment="true" applyProtection="false">
      <alignment horizontal="left" vertical="bottom" textRotation="0" wrapText="false" indent="0" shrinkToFit="false"/>
      <protection locked="true" hidden="false"/>
    </xf>
    <xf numFmtId="166" fontId="0" fillId="0" borderId="193" xfId="0" applyFont="false" applyBorder="true" applyAlignment="true" applyProtection="false">
      <alignment horizontal="center" vertical="bottom" textRotation="0" wrapText="false" indent="0" shrinkToFit="false"/>
      <protection locked="true" hidden="false"/>
    </xf>
    <xf numFmtId="166" fontId="0" fillId="0" borderId="193" xfId="0" applyFont="false" applyBorder="true" applyAlignment="false" applyProtection="false">
      <alignment horizontal="general" vertical="bottom" textRotation="0" wrapText="false" indent="0" shrinkToFit="false"/>
      <protection locked="true" hidden="false"/>
    </xf>
    <xf numFmtId="166" fontId="25" fillId="0" borderId="193" xfId="0" applyFont="true" applyBorder="true" applyAlignment="true" applyProtection="false">
      <alignment horizontal="left" vertical="bottom" textRotation="0" wrapText="false" indent="0" shrinkToFit="false"/>
      <protection locked="true" hidden="false"/>
    </xf>
    <xf numFmtId="166" fontId="25" fillId="0" borderId="193" xfId="0" applyFont="true" applyBorder="true" applyAlignment="true" applyProtection="false">
      <alignment horizontal="center" vertical="center" textRotation="0" wrapText="false" indent="0" shrinkToFit="false"/>
      <protection locked="true" hidden="false"/>
    </xf>
    <xf numFmtId="166" fontId="0" fillId="0" borderId="193" xfId="0" applyFont="false" applyBorder="true" applyAlignment="true" applyProtection="false">
      <alignment horizontal="center" vertical="center" textRotation="0" wrapText="false" indent="0" shrinkToFit="false"/>
      <protection locked="true" hidden="false"/>
    </xf>
    <xf numFmtId="166" fontId="0" fillId="0" borderId="194" xfId="0" applyFont="false" applyBorder="true" applyAlignment="true" applyProtection="false">
      <alignment horizontal="center" vertical="center" textRotation="0" wrapText="false" indent="0" shrinkToFit="false"/>
      <protection locked="true" hidden="false"/>
    </xf>
    <xf numFmtId="167" fontId="0" fillId="37" borderId="0" xfId="0" applyFont="false" applyBorder="false" applyAlignment="false" applyProtection="false">
      <alignment horizontal="general" vertical="bottom" textRotation="0" wrapText="false" indent="0" shrinkToFit="false"/>
      <protection locked="true" hidden="false"/>
    </xf>
    <xf numFmtId="164" fontId="24" fillId="15" borderId="195" xfId="0" applyFont="true" applyBorder="true" applyAlignment="true" applyProtection="false">
      <alignment horizontal="center" vertical="bottom" textRotation="0" wrapText="false" indent="0" shrinkToFit="false"/>
      <protection locked="true" hidden="false"/>
    </xf>
    <xf numFmtId="166" fontId="0" fillId="0" borderId="196" xfId="0" applyFont="false" applyBorder="true" applyAlignment="true" applyProtection="false">
      <alignment horizontal="left" vertical="bottom" textRotation="0" wrapText="false" indent="0" shrinkToFit="false"/>
      <protection locked="true" hidden="false"/>
    </xf>
    <xf numFmtId="166" fontId="0" fillId="0" borderId="197" xfId="0" applyFont="false" applyBorder="true" applyAlignment="true" applyProtection="false">
      <alignment horizontal="center" vertical="bottom" textRotation="0" wrapText="false" indent="0" shrinkToFit="false"/>
      <protection locked="true" hidden="false"/>
    </xf>
    <xf numFmtId="166" fontId="0" fillId="0" borderId="197" xfId="0" applyFont="false" applyBorder="true" applyAlignment="false" applyProtection="false">
      <alignment horizontal="general" vertical="bottom" textRotation="0" wrapText="false" indent="0" shrinkToFit="false"/>
      <protection locked="true" hidden="false"/>
    </xf>
    <xf numFmtId="164" fontId="0" fillId="2" borderId="198" xfId="0" applyFont="false" applyBorder="true" applyAlignment="false" applyProtection="false">
      <alignment horizontal="general" vertical="bottom" textRotation="0" wrapText="false" indent="0" shrinkToFit="false"/>
      <protection locked="true" hidden="false"/>
    </xf>
    <xf numFmtId="166" fontId="25" fillId="0" borderId="197" xfId="0" applyFont="true" applyBorder="true" applyAlignment="true" applyProtection="false">
      <alignment horizontal="left" vertical="bottom" textRotation="0" wrapText="false" indent="0" shrinkToFit="false"/>
      <protection locked="true" hidden="false"/>
    </xf>
    <xf numFmtId="166" fontId="25" fillId="0" borderId="197" xfId="0" applyFont="true" applyBorder="true" applyAlignment="true" applyProtection="false">
      <alignment horizontal="center" vertical="center" textRotation="0" wrapText="false" indent="0" shrinkToFit="false"/>
      <protection locked="true" hidden="false"/>
    </xf>
    <xf numFmtId="166" fontId="0" fillId="0" borderId="197" xfId="0" applyFont="false" applyBorder="true" applyAlignment="true" applyProtection="false">
      <alignment horizontal="center" vertical="center" textRotation="0" wrapText="false" indent="0" shrinkToFit="false"/>
      <protection locked="true" hidden="false"/>
    </xf>
    <xf numFmtId="166" fontId="0" fillId="0" borderId="199" xfId="0" applyFont="false" applyBorder="true" applyAlignment="true" applyProtection="false">
      <alignment horizontal="center" vertical="center" textRotation="0" wrapText="false" indent="0" shrinkToFit="false"/>
      <protection locked="true" hidden="false"/>
    </xf>
    <xf numFmtId="166" fontId="25" fillId="37" borderId="200" xfId="0" applyFont="true" applyBorder="true" applyAlignment="true" applyProtection="false">
      <alignment horizontal="center" vertical="center" textRotation="0" wrapText="false" indent="0" shrinkToFit="false"/>
      <protection locked="true" hidden="false"/>
    </xf>
    <xf numFmtId="166" fontId="0" fillId="37" borderId="200" xfId="0" applyFont="false" applyBorder="true" applyAlignment="true" applyProtection="false">
      <alignment horizontal="center" vertical="center" textRotation="0" wrapText="false" indent="0" shrinkToFit="false"/>
      <protection locked="true" hidden="false"/>
    </xf>
    <xf numFmtId="166" fontId="0" fillId="37" borderId="201" xfId="0" applyFont="false" applyBorder="tru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38" borderId="0" xfId="0" applyFont="false" applyBorder="false" applyAlignment="true" applyProtection="false">
      <alignment horizontal="center" vertical="center" textRotation="0" wrapText="false" indent="0" shrinkToFit="false"/>
      <protection locked="true" hidden="false"/>
    </xf>
    <xf numFmtId="164" fontId="0" fillId="39" borderId="0" xfId="0" applyFont="false" applyBorder="false" applyAlignment="true" applyProtection="false">
      <alignment horizontal="center" vertical="center" textRotation="0" wrapText="false" indent="0" shrinkToFit="false"/>
      <protection locked="true" hidden="false"/>
    </xf>
    <xf numFmtId="164" fontId="0" fillId="7" borderId="0" xfId="0" applyFont="false" applyBorder="false" applyAlignment="true" applyProtection="false">
      <alignment horizontal="center" vertical="center" textRotation="0" wrapText="false" indent="0" shrinkToFit="false"/>
      <protection locked="true" hidden="false"/>
    </xf>
    <xf numFmtId="166" fontId="0" fillId="37" borderId="202" xfId="0" applyFont="false" applyBorder="true" applyAlignment="true" applyProtection="false">
      <alignment horizontal="center" vertical="center" textRotation="0" wrapText="false" indent="0" shrinkToFit="false"/>
      <protection locked="true" hidden="false"/>
    </xf>
    <xf numFmtId="166" fontId="0" fillId="0" borderId="203" xfId="0" applyFont="false" applyBorder="true" applyAlignment="true" applyProtection="false">
      <alignment horizontal="left" vertical="bottom" textRotation="0" wrapText="false" indent="0" shrinkToFit="false"/>
      <protection locked="true" hidden="false"/>
    </xf>
    <xf numFmtId="166" fontId="0" fillId="0" borderId="204" xfId="0" applyFont="false" applyBorder="true" applyAlignment="true" applyProtection="false">
      <alignment horizontal="center" vertical="bottom" textRotation="0" wrapText="false" indent="0" shrinkToFit="false"/>
      <protection locked="true" hidden="false"/>
    </xf>
    <xf numFmtId="166" fontId="0" fillId="0" borderId="204" xfId="0" applyFont="false" applyBorder="true" applyAlignment="false" applyProtection="false">
      <alignment horizontal="general" vertical="bottom" textRotation="0" wrapText="false" indent="0" shrinkToFit="false"/>
      <protection locked="true" hidden="false"/>
    </xf>
    <xf numFmtId="166" fontId="25" fillId="0" borderId="204" xfId="0" applyFont="true" applyBorder="true" applyAlignment="true" applyProtection="false">
      <alignment horizontal="left" vertical="bottom" textRotation="0" wrapText="false" indent="0" shrinkToFit="false"/>
      <protection locked="true" hidden="false"/>
    </xf>
    <xf numFmtId="166" fontId="25" fillId="0" borderId="204" xfId="0" applyFont="true" applyBorder="true" applyAlignment="true" applyProtection="false">
      <alignment horizontal="center" vertical="center" textRotation="0" wrapText="false" indent="0" shrinkToFit="false"/>
      <protection locked="true" hidden="false"/>
    </xf>
    <xf numFmtId="166" fontId="0" fillId="0" borderId="204" xfId="0" applyFont="false" applyBorder="true" applyAlignment="true" applyProtection="false">
      <alignment horizontal="center" vertical="center" textRotation="0" wrapText="false" indent="0" shrinkToFit="false"/>
      <protection locked="true" hidden="false"/>
    </xf>
    <xf numFmtId="166" fontId="0" fillId="0" borderId="205" xfId="0" applyFont="false" applyBorder="true" applyAlignment="true" applyProtection="false">
      <alignment horizontal="center" vertical="center" textRotation="0" wrapText="false" indent="0" shrinkToFit="false"/>
      <protection locked="true" hidden="false"/>
    </xf>
    <xf numFmtId="166" fontId="0" fillId="37" borderId="206" xfId="0" applyFont="false" applyBorder="true" applyAlignment="true" applyProtection="false">
      <alignment horizontal="center" vertical="center" textRotation="0" wrapText="false" indent="0" shrinkToFit="false"/>
      <protection locked="true" hidden="false"/>
    </xf>
    <xf numFmtId="164" fontId="0" fillId="2" borderId="207" xfId="0" applyFont="false" applyBorder="true" applyAlignment="true" applyProtection="false">
      <alignment horizontal="center" vertical="center" textRotation="0" wrapText="false" indent="0" shrinkToFit="false"/>
      <protection locked="true" hidden="false"/>
    </xf>
    <xf numFmtId="166" fontId="0" fillId="37" borderId="208" xfId="0" applyFont="false" applyBorder="true" applyAlignment="true" applyProtection="false">
      <alignment horizontal="center" vertical="center" textRotation="0" wrapText="false" indent="0" shrinkToFit="false"/>
      <protection locked="true" hidden="false"/>
    </xf>
    <xf numFmtId="166" fontId="0" fillId="0" borderId="209" xfId="0" applyFont="false" applyBorder="true" applyAlignment="true" applyProtection="false">
      <alignment horizontal="left" vertical="bottom" textRotation="0" wrapText="false" indent="0" shrinkToFit="false"/>
      <protection locked="true" hidden="false"/>
    </xf>
    <xf numFmtId="164" fontId="0" fillId="37" borderId="0" xfId="0" applyFont="false" applyBorder="false" applyAlignment="true" applyProtection="false">
      <alignment horizontal="center" vertical="center" textRotation="0" wrapText="false" indent="0" shrinkToFit="false"/>
      <protection locked="true" hidden="false"/>
    </xf>
    <xf numFmtId="164" fontId="0" fillId="37" borderId="207" xfId="0" applyFont="false" applyBorder="true" applyAlignment="true" applyProtection="false">
      <alignment horizontal="center" vertical="center" textRotation="0" wrapText="false" indent="0" shrinkToFit="false"/>
      <protection locked="true" hidden="false"/>
    </xf>
    <xf numFmtId="164" fontId="0" fillId="38" borderId="210" xfId="0" applyFont="false" applyBorder="true" applyAlignment="true" applyProtection="false">
      <alignment horizontal="center" vertical="center" textRotation="0" wrapText="false" indent="0" shrinkToFit="false"/>
      <protection locked="true" hidden="false"/>
    </xf>
    <xf numFmtId="166" fontId="25" fillId="0" borderId="211" xfId="0" applyFont="true" applyBorder="true" applyAlignment="true" applyProtection="false">
      <alignment horizontal="center" vertical="center" textRotation="0" wrapText="false" indent="0" shrinkToFit="false"/>
      <protection locked="true" hidden="false"/>
    </xf>
    <xf numFmtId="166" fontId="0" fillId="0" borderId="211" xfId="0" applyFont="false" applyBorder="true" applyAlignment="true" applyProtection="false">
      <alignment horizontal="center" vertical="center" textRotation="0" wrapText="false" indent="0" shrinkToFit="false"/>
      <protection locked="true" hidden="false"/>
    </xf>
    <xf numFmtId="166" fontId="0" fillId="0" borderId="212" xfId="0" applyFont="false" applyBorder="true" applyAlignment="true" applyProtection="false">
      <alignment horizontal="center" vertical="center" textRotation="0" wrapText="false" indent="0" shrinkToFit="false"/>
      <protection locked="true" hidden="false"/>
    </xf>
    <xf numFmtId="164" fontId="24" fillId="6" borderId="213" xfId="0" applyFont="true" applyBorder="true" applyAlignment="true" applyProtection="false">
      <alignment horizontal="center" vertical="center" textRotation="0" wrapText="false" indent="0" shrinkToFit="false"/>
      <protection locked="true" hidden="false"/>
    </xf>
    <xf numFmtId="166" fontId="0" fillId="0" borderId="214" xfId="0" applyFont="false" applyBorder="true" applyAlignment="true" applyProtection="false">
      <alignment horizontal="left" vertical="bottom" textRotation="0" wrapText="false" indent="0" shrinkToFit="false"/>
      <protection locked="true" hidden="false"/>
    </xf>
    <xf numFmtId="166" fontId="0" fillId="0" borderId="215" xfId="0" applyFont="false" applyBorder="true" applyAlignment="true" applyProtection="false">
      <alignment horizontal="center" vertical="bottom" textRotation="0" wrapText="false" indent="0" shrinkToFit="false"/>
      <protection locked="true" hidden="false"/>
    </xf>
    <xf numFmtId="166" fontId="0" fillId="0" borderId="215" xfId="0" applyFont="false" applyBorder="true" applyAlignment="false" applyProtection="false">
      <alignment horizontal="general" vertical="bottom" textRotation="0" wrapText="false" indent="0" shrinkToFit="false"/>
      <protection locked="true" hidden="false"/>
    </xf>
    <xf numFmtId="164" fontId="0" fillId="6" borderId="181" xfId="0" applyFont="false" applyBorder="true" applyAlignment="true" applyProtection="false">
      <alignment horizontal="left" vertical="bottom" textRotation="0" wrapText="false" indent="0" shrinkToFit="false"/>
      <protection locked="true" hidden="false"/>
    </xf>
    <xf numFmtId="164" fontId="0" fillId="6" borderId="181" xfId="0" applyFont="false" applyBorder="true" applyAlignment="false" applyProtection="false">
      <alignment horizontal="general" vertical="bottom" textRotation="0" wrapText="false" indent="0" shrinkToFit="false"/>
      <protection locked="true" hidden="false"/>
    </xf>
    <xf numFmtId="164" fontId="0" fillId="6" borderId="213" xfId="0" applyFont="false" applyBorder="true" applyAlignment="false" applyProtection="false">
      <alignment horizontal="general" vertical="bottom" textRotation="0" wrapText="false" indent="0" shrinkToFit="false"/>
      <protection locked="true" hidden="false"/>
    </xf>
    <xf numFmtId="164" fontId="0" fillId="2" borderId="216" xfId="0" applyFont="false" applyBorder="true" applyAlignment="true" applyProtection="false">
      <alignment horizontal="center" vertical="center" textRotation="0" wrapText="false" indent="0" shrinkToFit="false"/>
      <protection locked="true" hidden="false"/>
    </xf>
    <xf numFmtId="166" fontId="25" fillId="38" borderId="200" xfId="0" applyFont="true" applyBorder="true" applyAlignment="true" applyProtection="false">
      <alignment horizontal="center" vertical="center" textRotation="0" wrapText="false" indent="0" shrinkToFit="false"/>
      <protection locked="true" hidden="false"/>
    </xf>
    <xf numFmtId="166" fontId="0" fillId="38" borderId="200" xfId="0" applyFont="false" applyBorder="true" applyAlignment="true" applyProtection="false">
      <alignment horizontal="center" vertical="center" textRotation="0" wrapText="false" indent="0" shrinkToFit="false"/>
      <protection locked="true" hidden="false"/>
    </xf>
    <xf numFmtId="166" fontId="0" fillId="38" borderId="201" xfId="0" applyFont="false" applyBorder="true" applyAlignment="true" applyProtection="false">
      <alignment horizontal="center" vertical="center" textRotation="0" wrapText="false" indent="0" shrinkToFit="false"/>
      <protection locked="true" hidden="false"/>
    </xf>
    <xf numFmtId="166" fontId="0" fillId="38" borderId="202" xfId="0" applyFont="false" applyBorder="true" applyAlignment="true" applyProtection="false">
      <alignment horizontal="center" vertical="center" textRotation="0" wrapText="false" indent="0" shrinkToFit="false"/>
      <protection locked="true" hidden="false"/>
    </xf>
    <xf numFmtId="164" fontId="0" fillId="2" borderId="217" xfId="0" applyFont="false" applyBorder="true" applyAlignment="true" applyProtection="false">
      <alignment horizontal="center" vertical="center" textRotation="0" wrapText="false" indent="0" shrinkToFit="false"/>
      <protection locked="true" hidden="false"/>
    </xf>
    <xf numFmtId="164" fontId="24" fillId="15" borderId="218" xfId="0" applyFont="true" applyBorder="true" applyAlignment="true" applyProtection="false">
      <alignment horizontal="center" vertical="bottom" textRotation="0" wrapText="false" indent="0" shrinkToFit="false"/>
      <protection locked="true" hidden="false"/>
    </xf>
    <xf numFmtId="166" fontId="0" fillId="0" borderId="219" xfId="0" applyFont="false" applyBorder="true" applyAlignment="true" applyProtection="false">
      <alignment horizontal="left" vertical="bottom" textRotation="0" wrapText="false" indent="0" shrinkToFit="false"/>
      <protection locked="true" hidden="false"/>
    </xf>
    <xf numFmtId="166" fontId="0" fillId="0" borderId="220" xfId="0" applyFont="false" applyBorder="true" applyAlignment="true" applyProtection="false">
      <alignment horizontal="center" vertical="bottom" textRotation="0" wrapText="false" indent="0" shrinkToFit="false"/>
      <protection locked="true" hidden="false"/>
    </xf>
    <xf numFmtId="166" fontId="0" fillId="0" borderId="220" xfId="0" applyFont="false" applyBorder="true" applyAlignment="false" applyProtection="false">
      <alignment horizontal="general" vertical="bottom" textRotation="0" wrapText="false" indent="0" shrinkToFit="false"/>
      <protection locked="true" hidden="false"/>
    </xf>
    <xf numFmtId="164" fontId="0" fillId="2" borderId="221" xfId="0" applyFont="false" applyBorder="true" applyAlignment="false" applyProtection="false">
      <alignment horizontal="general" vertical="bottom" textRotation="0" wrapText="false" indent="0" shrinkToFit="false"/>
      <protection locked="true" hidden="false"/>
    </xf>
    <xf numFmtId="164" fontId="21" fillId="15" borderId="221" xfId="0" applyFont="true" applyBorder="true" applyAlignment="true" applyProtection="false">
      <alignment horizontal="left" vertical="bottom" textRotation="0" wrapText="false" indent="0" shrinkToFit="false"/>
      <protection locked="true" hidden="false"/>
    </xf>
    <xf numFmtId="164" fontId="21" fillId="15" borderId="221" xfId="0" applyFont="true" applyBorder="true" applyAlignment="false" applyProtection="false">
      <alignment horizontal="general" vertical="bottom" textRotation="0" wrapText="false" indent="0" shrinkToFit="false"/>
      <protection locked="true" hidden="false"/>
    </xf>
    <xf numFmtId="164" fontId="21" fillId="15" borderId="222" xfId="0" applyFont="true" applyBorder="true" applyAlignment="false" applyProtection="false">
      <alignment horizontal="general" vertical="bottom" textRotation="0" wrapText="false" indent="0" shrinkToFit="false"/>
      <protection locked="true" hidden="false"/>
    </xf>
    <xf numFmtId="164" fontId="25" fillId="2" borderId="223"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6" fontId="0" fillId="38" borderId="206" xfId="0" applyFont="false" applyBorder="true" applyAlignment="true" applyProtection="false">
      <alignment horizontal="center" vertical="center" textRotation="0" wrapText="false" indent="0" shrinkToFit="false"/>
      <protection locked="true" hidden="false"/>
    </xf>
    <xf numFmtId="166" fontId="0" fillId="38" borderId="208" xfId="0" applyFont="false" applyBorder="true" applyAlignment="true" applyProtection="false">
      <alignment horizontal="center" vertical="center" textRotation="0" wrapText="false" indent="0" shrinkToFit="false"/>
      <protection locked="true" hidden="false"/>
    </xf>
    <xf numFmtId="164" fontId="0" fillId="2" borderId="224" xfId="0" applyFont="false" applyBorder="true" applyAlignment="false" applyProtection="false">
      <alignment horizontal="general" vertical="bottom" textRotation="0" wrapText="false" indent="0" shrinkToFit="false"/>
      <protection locked="true" hidden="false"/>
    </xf>
    <xf numFmtId="164" fontId="0" fillId="2" borderId="224" xfId="0" applyFont="false" applyBorder="true" applyAlignment="true" applyProtection="false">
      <alignment horizontal="left" vertical="bottom" textRotation="0" wrapText="false" indent="0" shrinkToFit="false"/>
      <protection locked="true" hidden="false"/>
    </xf>
    <xf numFmtId="164" fontId="25" fillId="2" borderId="0" xfId="0" applyFont="true" applyBorder="false" applyAlignment="true" applyProtection="false">
      <alignment horizontal="center" vertical="bottom" textRotation="0" wrapText="false" indent="0" shrinkToFit="false"/>
      <protection locked="true" hidden="false"/>
    </xf>
    <xf numFmtId="164" fontId="24" fillId="9" borderId="0" xfId="0" applyFont="true" applyBorder="false" applyAlignment="true" applyProtection="false">
      <alignment horizontal="center" vertical="bottom" textRotation="0" wrapText="false" indent="0" shrinkToFit="false"/>
      <protection locked="true" hidden="false"/>
    </xf>
    <xf numFmtId="166" fontId="0" fillId="0" borderId="225" xfId="0" applyFont="false" applyBorder="true" applyAlignment="true" applyProtection="false">
      <alignment horizontal="left" vertical="bottom" textRotation="0" wrapText="false" indent="0" shrinkToFit="false"/>
      <protection locked="true" hidden="false"/>
    </xf>
    <xf numFmtId="166" fontId="0" fillId="0" borderId="226" xfId="0" applyFont="false" applyBorder="true" applyAlignment="true" applyProtection="false">
      <alignment horizontal="center" vertical="bottom" textRotation="0" wrapText="false" indent="0" shrinkToFit="false"/>
      <protection locked="true" hidden="false"/>
    </xf>
    <xf numFmtId="166" fontId="0" fillId="0" borderId="227" xfId="0" applyFont="false" applyBorder="true" applyAlignment="true" applyProtection="false">
      <alignment horizontal="center" vertical="bottom" textRotation="0" wrapText="false" indent="0" shrinkToFit="false"/>
      <protection locked="true" hidden="false"/>
    </xf>
    <xf numFmtId="166" fontId="0" fillId="0" borderId="227" xfId="0" applyFont="false" applyBorder="true" applyAlignment="false" applyProtection="false">
      <alignment horizontal="general" vertical="bottom" textRotation="0" wrapText="false" indent="0" shrinkToFit="false"/>
      <protection locked="true" hidden="false"/>
    </xf>
    <xf numFmtId="164" fontId="0" fillId="2" borderId="226" xfId="0" applyFont="false" applyBorder="true" applyAlignment="false" applyProtection="false">
      <alignment horizontal="general" vertical="bottom" textRotation="0" wrapText="false" indent="0" shrinkToFit="false"/>
      <protection locked="true" hidden="false"/>
    </xf>
    <xf numFmtId="164" fontId="24" fillId="9" borderId="227" xfId="0" applyFont="true" applyBorder="true" applyAlignment="true" applyProtection="false">
      <alignment horizontal="left" vertical="center" textRotation="0" wrapText="false" indent="0" shrinkToFit="false"/>
      <protection locked="true" hidden="false"/>
    </xf>
    <xf numFmtId="164" fontId="24" fillId="9" borderId="227" xfId="0" applyFont="true" applyBorder="true" applyAlignment="true" applyProtection="false">
      <alignment horizontal="center" vertical="center" textRotation="0" wrapText="false" indent="0" shrinkToFit="false"/>
      <protection locked="true" hidden="false"/>
    </xf>
    <xf numFmtId="164" fontId="24" fillId="9" borderId="228" xfId="0" applyFont="true" applyBorder="true" applyAlignment="true" applyProtection="false">
      <alignment horizontal="center" vertical="center" textRotation="0" wrapText="false" indent="0" shrinkToFit="false"/>
      <protection locked="true" hidden="false"/>
    </xf>
    <xf numFmtId="164" fontId="24" fillId="9" borderId="229" xfId="0" applyFont="true" applyBorder="true" applyAlignment="true" applyProtection="false">
      <alignment horizontal="center" vertical="center" textRotation="0" wrapText="false" indent="0" shrinkToFit="false"/>
      <protection locked="true" hidden="false"/>
    </xf>
    <xf numFmtId="164" fontId="0" fillId="38" borderId="207" xfId="0" applyFont="false" applyBorder="true" applyAlignment="true" applyProtection="false">
      <alignment horizontal="center" vertical="center" textRotation="0" wrapText="false" indent="0" shrinkToFit="false"/>
      <protection locked="true" hidden="false"/>
    </xf>
    <xf numFmtId="164" fontId="0" fillId="2" borderId="230" xfId="0" applyFont="false" applyBorder="true" applyAlignment="true" applyProtection="false">
      <alignment horizontal="center" vertical="center" textRotation="0" wrapText="false" indent="0" shrinkToFit="false"/>
      <protection locked="true" hidden="false"/>
    </xf>
    <xf numFmtId="166" fontId="25" fillId="7" borderId="200" xfId="0" applyFont="true" applyBorder="true" applyAlignment="true" applyProtection="false">
      <alignment horizontal="center" vertical="center" textRotation="0" wrapText="false" indent="0" shrinkToFit="false"/>
      <protection locked="true" hidden="false"/>
    </xf>
    <xf numFmtId="166" fontId="0" fillId="7" borderId="200" xfId="0" applyFont="false" applyBorder="true" applyAlignment="true" applyProtection="false">
      <alignment horizontal="center" vertical="center" textRotation="0" wrapText="false" indent="0" shrinkToFit="false"/>
      <protection locked="true" hidden="false"/>
    </xf>
    <xf numFmtId="166" fontId="0" fillId="7" borderId="201" xfId="0" applyFont="false" applyBorder="true" applyAlignment="true" applyProtection="false">
      <alignment horizontal="center" vertical="center" textRotation="0" wrapText="false" indent="0" shrinkToFit="false"/>
      <protection locked="true" hidden="false"/>
    </xf>
    <xf numFmtId="164" fontId="0" fillId="38" borderId="231" xfId="0" applyFont="false" applyBorder="true" applyAlignment="true" applyProtection="false">
      <alignment horizontal="center" vertical="center" textRotation="0" wrapText="false" indent="0" shrinkToFit="false"/>
      <protection locked="true" hidden="false"/>
    </xf>
    <xf numFmtId="164" fontId="24" fillId="17" borderId="232" xfId="0" applyFont="true" applyBorder="true" applyAlignment="true" applyProtection="false">
      <alignment horizontal="center" vertical="bottom" textRotation="0" wrapText="false" indent="0" shrinkToFit="false"/>
      <protection locked="true" hidden="false"/>
    </xf>
    <xf numFmtId="166" fontId="0" fillId="0" borderId="233" xfId="0" applyFont="false" applyBorder="true" applyAlignment="true" applyProtection="false">
      <alignment horizontal="left" vertical="bottom" textRotation="0" wrapText="false" indent="0" shrinkToFit="false"/>
      <protection locked="true" hidden="false"/>
    </xf>
    <xf numFmtId="166" fontId="0" fillId="0" borderId="234" xfId="0" applyFont="false" applyBorder="true" applyAlignment="true" applyProtection="false">
      <alignment horizontal="center" vertical="bottom" textRotation="0" wrapText="false" indent="0" shrinkToFit="false"/>
      <protection locked="true" hidden="false"/>
    </xf>
    <xf numFmtId="166" fontId="0" fillId="0" borderId="235" xfId="0" applyFont="false" applyBorder="true" applyAlignment="true" applyProtection="false">
      <alignment horizontal="center" vertical="bottom" textRotation="0" wrapText="false" indent="0" shrinkToFit="false"/>
      <protection locked="true" hidden="false"/>
    </xf>
    <xf numFmtId="166" fontId="0" fillId="0" borderId="236" xfId="0" applyFont="false" applyBorder="true" applyAlignment="false" applyProtection="false">
      <alignment horizontal="general" vertical="bottom" textRotation="0" wrapText="false" indent="0" shrinkToFit="false"/>
      <protection locked="true" hidden="false"/>
    </xf>
    <xf numFmtId="164" fontId="0" fillId="2" borderId="237" xfId="0" applyFont="false" applyBorder="true" applyAlignment="false" applyProtection="false">
      <alignment horizontal="general" vertical="bottom" textRotation="0" wrapText="false" indent="0" shrinkToFit="false"/>
      <protection locked="true" hidden="false"/>
    </xf>
    <xf numFmtId="164" fontId="24" fillId="17" borderId="238" xfId="0" applyFont="true" applyBorder="true" applyAlignment="true" applyProtection="false">
      <alignment horizontal="left" vertical="center" textRotation="0" wrapText="false" indent="0" shrinkToFit="false"/>
      <protection locked="true" hidden="false"/>
    </xf>
    <xf numFmtId="164" fontId="24" fillId="17" borderId="234" xfId="0" applyFont="true" applyBorder="true" applyAlignment="true" applyProtection="false">
      <alignment horizontal="center" vertical="center" textRotation="0" wrapText="false" indent="0" shrinkToFit="false"/>
      <protection locked="true" hidden="false"/>
    </xf>
    <xf numFmtId="164" fontId="24" fillId="17" borderId="238" xfId="0" applyFont="true" applyBorder="true" applyAlignment="true" applyProtection="false">
      <alignment horizontal="center" vertical="center" textRotation="0" wrapText="false" indent="0" shrinkToFit="false"/>
      <protection locked="true" hidden="false"/>
    </xf>
    <xf numFmtId="164" fontId="24" fillId="17" borderId="239" xfId="0" applyFont="true" applyBorder="true" applyAlignment="true" applyProtection="false">
      <alignment horizontal="center" vertical="center" textRotation="0" wrapText="false" indent="0" shrinkToFit="false"/>
      <protection locked="true" hidden="false"/>
    </xf>
    <xf numFmtId="166" fontId="0" fillId="0" borderId="240" xfId="0" applyFont="false" applyBorder="true" applyAlignment="true" applyProtection="false">
      <alignment horizontal="left" vertical="bottom" textRotation="0" wrapText="false" indent="0" shrinkToFit="false"/>
      <protection locked="true" hidden="false"/>
    </xf>
    <xf numFmtId="166" fontId="0" fillId="0" borderId="240" xfId="0" applyFont="false" applyBorder="true" applyAlignment="true" applyProtection="false">
      <alignment horizontal="center" vertical="bottom" textRotation="0" wrapText="false" indent="0" shrinkToFit="false"/>
      <protection locked="true" hidden="false"/>
    </xf>
    <xf numFmtId="166" fontId="0" fillId="0" borderId="241" xfId="0" applyFont="false" applyBorder="true" applyAlignment="true" applyProtection="false">
      <alignment horizontal="center" vertical="bottom" textRotation="0" wrapText="false" indent="0" shrinkToFit="false"/>
      <protection locked="true" hidden="false"/>
    </xf>
    <xf numFmtId="166" fontId="0" fillId="0" borderId="241" xfId="0" applyFont="false" applyBorder="true" applyAlignment="false" applyProtection="false">
      <alignment horizontal="general" vertical="bottom" textRotation="0" wrapText="false" indent="0" shrinkToFit="false"/>
      <protection locked="true" hidden="false"/>
    </xf>
    <xf numFmtId="166" fontId="25" fillId="0" borderId="240" xfId="0" applyFont="true" applyBorder="true" applyAlignment="true" applyProtection="false">
      <alignment horizontal="left" vertical="bottom" textRotation="0" wrapText="false" indent="0" shrinkToFit="false"/>
      <protection locked="true" hidden="false"/>
    </xf>
    <xf numFmtId="166" fontId="25" fillId="0" borderId="241" xfId="0" applyFont="true" applyBorder="true" applyAlignment="true" applyProtection="false">
      <alignment horizontal="center" vertical="center" textRotation="0" wrapText="false" indent="0" shrinkToFit="false"/>
      <protection locked="true" hidden="false"/>
    </xf>
    <xf numFmtId="166" fontId="0" fillId="0" borderId="241" xfId="0" applyFont="false" applyBorder="true" applyAlignment="true" applyProtection="false">
      <alignment horizontal="center" vertical="center" textRotation="0" wrapText="false" indent="0" shrinkToFit="false"/>
      <protection locked="true" hidden="false"/>
    </xf>
    <xf numFmtId="166" fontId="0" fillId="0" borderId="242" xfId="0" applyFont="false" applyBorder="true" applyAlignment="true" applyProtection="false">
      <alignment horizontal="center" vertical="center" textRotation="0" wrapText="false" indent="0" shrinkToFit="false"/>
      <protection locked="true" hidden="false"/>
    </xf>
    <xf numFmtId="166" fontId="0" fillId="37" borderId="243" xfId="0" applyFont="false" applyBorder="true" applyAlignment="true" applyProtection="false">
      <alignment horizontal="center" vertical="center" textRotation="0" wrapText="false" indent="0" shrinkToFit="false"/>
      <protection locked="true" hidden="false"/>
    </xf>
    <xf numFmtId="164" fontId="0" fillId="39" borderId="207" xfId="0" applyFont="false" applyBorder="true" applyAlignment="true" applyProtection="false">
      <alignment horizontal="center" vertical="center" textRotation="0" wrapText="false" indent="0" shrinkToFit="false"/>
      <protection locked="true" hidden="false"/>
    </xf>
    <xf numFmtId="164" fontId="0" fillId="2" borderId="244" xfId="0" applyFont="false" applyBorder="true" applyAlignment="true" applyProtection="false">
      <alignment horizontal="center" vertical="center" textRotation="0" wrapText="false" indent="0" shrinkToFit="false"/>
      <protection locked="true" hidden="false"/>
    </xf>
    <xf numFmtId="166" fontId="25" fillId="7" borderId="245" xfId="0" applyFont="true" applyBorder="true" applyAlignment="true" applyProtection="false">
      <alignment horizontal="center" vertical="center" textRotation="0" wrapText="false" indent="0" shrinkToFit="false"/>
      <protection locked="true" hidden="false"/>
    </xf>
    <xf numFmtId="166" fontId="0" fillId="7" borderId="246" xfId="0" applyFont="false" applyBorder="true" applyAlignment="true" applyProtection="false">
      <alignment horizontal="center" vertical="center" textRotation="0" wrapText="false" indent="0" shrinkToFit="false"/>
      <protection locked="true" hidden="false"/>
    </xf>
    <xf numFmtId="164" fontId="0" fillId="2" borderId="247" xfId="0" applyFont="false" applyBorder="true" applyAlignment="true" applyProtection="false">
      <alignment horizontal="center" vertical="center" textRotation="0" wrapText="false" indent="0" shrinkToFit="false"/>
      <protection locked="true" hidden="false"/>
    </xf>
    <xf numFmtId="164" fontId="24" fillId="17" borderId="248" xfId="0" applyFont="true" applyBorder="true" applyAlignment="true" applyProtection="false">
      <alignment horizontal="center" vertical="bottom" textRotation="0" wrapText="false" indent="0" shrinkToFit="false"/>
      <protection locked="true" hidden="false"/>
    </xf>
    <xf numFmtId="166" fontId="0" fillId="0" borderId="249" xfId="0" applyFont="false" applyBorder="true" applyAlignment="true" applyProtection="false">
      <alignment horizontal="left" vertical="bottom" textRotation="0" wrapText="false" indent="0" shrinkToFit="false"/>
      <protection locked="true" hidden="false"/>
    </xf>
    <xf numFmtId="166" fontId="0" fillId="0" borderId="250" xfId="0" applyFont="false" applyBorder="true" applyAlignment="true" applyProtection="false">
      <alignment horizontal="center" vertical="bottom" textRotation="0" wrapText="false" indent="0" shrinkToFit="false"/>
      <protection locked="true" hidden="false"/>
    </xf>
    <xf numFmtId="166" fontId="0" fillId="0" borderId="250" xfId="0" applyFont="false" applyBorder="true" applyAlignment="false" applyProtection="false">
      <alignment horizontal="general" vertical="bottom" textRotation="0" wrapText="false" indent="0" shrinkToFit="false"/>
      <protection locked="true" hidden="false"/>
    </xf>
    <xf numFmtId="164" fontId="0" fillId="2" borderId="251" xfId="0" applyFont="false" applyBorder="true" applyAlignment="false" applyProtection="false">
      <alignment horizontal="general" vertical="bottom" textRotation="0" wrapText="false" indent="0" shrinkToFit="false"/>
      <protection locked="true" hidden="false"/>
    </xf>
    <xf numFmtId="166" fontId="25" fillId="0" borderId="252" xfId="0" applyFont="true" applyBorder="true" applyAlignment="true" applyProtection="false">
      <alignment horizontal="left" vertical="bottom" textRotation="0" wrapText="false" indent="0" shrinkToFit="false"/>
      <protection locked="true" hidden="false"/>
    </xf>
    <xf numFmtId="166" fontId="25" fillId="0" borderId="250" xfId="0" applyFont="true" applyBorder="true" applyAlignment="true" applyProtection="false">
      <alignment horizontal="center" vertical="center" textRotation="0" wrapText="false" indent="0" shrinkToFit="false"/>
      <protection locked="true" hidden="false"/>
    </xf>
    <xf numFmtId="166" fontId="0" fillId="0" borderId="250" xfId="0" applyFont="false" applyBorder="true" applyAlignment="true" applyProtection="false">
      <alignment horizontal="center" vertical="center" textRotation="0" wrapText="false" indent="0" shrinkToFit="false"/>
      <protection locked="true" hidden="false"/>
    </xf>
    <xf numFmtId="166" fontId="0" fillId="0" borderId="252" xfId="0" applyFont="false" applyBorder="true" applyAlignment="true" applyProtection="false">
      <alignment horizontal="center" vertical="center" textRotation="0" wrapText="false" indent="0" shrinkToFit="false"/>
      <protection locked="true" hidden="false"/>
    </xf>
    <xf numFmtId="166" fontId="0" fillId="0" borderId="253" xfId="0" applyFont="false" applyBorder="true" applyAlignment="true" applyProtection="false">
      <alignment horizontal="center" vertical="center" textRotation="0" wrapText="false" indent="0" shrinkToFit="false"/>
      <protection locked="true" hidden="false"/>
    </xf>
    <xf numFmtId="166" fontId="0" fillId="37" borderId="246" xfId="0" applyFont="false" applyBorder="true" applyAlignment="true" applyProtection="false">
      <alignment horizontal="center" vertical="center" textRotation="0" wrapText="false" indent="0" shrinkToFit="false"/>
      <protection locked="true" hidden="false"/>
    </xf>
    <xf numFmtId="166" fontId="0" fillId="0" borderId="254" xfId="0" applyFont="false" applyBorder="true" applyAlignment="true" applyProtection="false">
      <alignment horizontal="left" vertical="bottom" textRotation="0" wrapText="false" indent="0" shrinkToFit="false"/>
      <protection locked="true" hidden="false"/>
    </xf>
    <xf numFmtId="166" fontId="0" fillId="0" borderId="252" xfId="0" applyFont="false" applyBorder="true" applyAlignment="true" applyProtection="false">
      <alignment horizontal="center" vertical="bottom" textRotation="0" wrapText="false" indent="0" shrinkToFit="false"/>
      <protection locked="true" hidden="false"/>
    </xf>
    <xf numFmtId="166" fontId="25" fillId="0" borderId="255" xfId="0" applyFont="true" applyBorder="true" applyAlignment="true" applyProtection="false">
      <alignment horizontal="left" vertical="bottom" textRotation="0" wrapText="false" indent="0" shrinkToFit="false"/>
      <protection locked="true" hidden="false"/>
    </xf>
    <xf numFmtId="166" fontId="25" fillId="0" borderId="256" xfId="0" applyFont="true" applyBorder="true" applyAlignment="true" applyProtection="false">
      <alignment horizontal="center" vertical="center" textRotation="0" wrapText="false" indent="0" shrinkToFit="false"/>
      <protection locked="true" hidden="false"/>
    </xf>
    <xf numFmtId="166" fontId="0" fillId="0" borderId="255" xfId="0" applyFont="false" applyBorder="true" applyAlignment="true" applyProtection="false">
      <alignment horizontal="center" vertical="center" textRotation="0" wrapText="false" indent="0" shrinkToFit="false"/>
      <protection locked="true" hidden="false"/>
    </xf>
    <xf numFmtId="166" fontId="0" fillId="0" borderId="257" xfId="0" applyFont="false" applyBorder="true" applyAlignment="true" applyProtection="false">
      <alignment horizontal="center" vertical="center" textRotation="0" wrapText="false" indent="0" shrinkToFit="false"/>
      <protection locked="true" hidden="false"/>
    </xf>
    <xf numFmtId="166" fontId="0" fillId="0" borderId="258" xfId="0" applyFont="false" applyBorder="true" applyAlignment="true" applyProtection="false">
      <alignment horizontal="left" vertical="bottom" textRotation="0" wrapText="false" indent="0" shrinkToFit="false"/>
      <protection locked="true" hidden="false"/>
    </xf>
    <xf numFmtId="166" fontId="0" fillId="0" borderId="258" xfId="0" applyFont="false" applyBorder="true" applyAlignment="true" applyProtection="false">
      <alignment horizontal="center" vertical="bottom" textRotation="0" wrapText="false" indent="0" shrinkToFit="false"/>
      <protection locked="true" hidden="false"/>
    </xf>
    <xf numFmtId="166" fontId="0" fillId="0" borderId="259" xfId="0" applyFont="false" applyBorder="true" applyAlignment="true" applyProtection="false">
      <alignment horizontal="center" vertical="bottom" textRotation="0" wrapText="false" indent="0" shrinkToFit="false"/>
      <protection locked="true" hidden="false"/>
    </xf>
    <xf numFmtId="166" fontId="0" fillId="0" borderId="259" xfId="0" applyFont="false" applyBorder="true" applyAlignment="false" applyProtection="false">
      <alignment horizontal="general" vertical="bottom" textRotation="0" wrapText="false" indent="0" shrinkToFit="false"/>
      <protection locked="true" hidden="false"/>
    </xf>
    <xf numFmtId="166" fontId="25" fillId="0" borderId="258" xfId="0" applyFont="true" applyBorder="true" applyAlignment="true" applyProtection="false">
      <alignment horizontal="left" vertical="bottom" textRotation="0" wrapText="false" indent="0" shrinkToFit="false"/>
      <protection locked="true" hidden="false"/>
    </xf>
    <xf numFmtId="166" fontId="25" fillId="0" borderId="259" xfId="0" applyFont="true" applyBorder="true" applyAlignment="true" applyProtection="false">
      <alignment horizontal="center" vertical="center" textRotation="0" wrapText="false" indent="0" shrinkToFit="false"/>
      <protection locked="true" hidden="false"/>
    </xf>
    <xf numFmtId="166" fontId="0" fillId="0" borderId="259" xfId="0" applyFont="false" applyBorder="true" applyAlignment="true" applyProtection="false">
      <alignment horizontal="center" vertical="center" textRotation="0" wrapText="false" indent="0" shrinkToFit="false"/>
      <protection locked="true" hidden="false"/>
    </xf>
    <xf numFmtId="166" fontId="0" fillId="0" borderId="260" xfId="0" applyFont="false" applyBorder="true" applyAlignment="true" applyProtection="false">
      <alignment horizontal="center" vertical="center" textRotation="0" wrapText="false" indent="0" shrinkToFit="false"/>
      <protection locked="true" hidden="false"/>
    </xf>
    <xf numFmtId="166" fontId="0" fillId="0" borderId="261" xfId="0" applyFont="false" applyBorder="true" applyAlignment="true" applyProtection="false">
      <alignment horizontal="left" vertical="bottom" textRotation="0" wrapText="false" indent="0" shrinkToFit="false"/>
      <protection locked="true" hidden="false"/>
    </xf>
    <xf numFmtId="166" fontId="0" fillId="0" borderId="255" xfId="0" applyFont="false" applyBorder="true" applyAlignment="true" applyProtection="false">
      <alignment horizontal="center" vertical="bottom" textRotation="0" wrapText="false" indent="0" shrinkToFit="false"/>
      <protection locked="true" hidden="false"/>
    </xf>
    <xf numFmtId="166" fontId="0" fillId="0" borderId="256" xfId="0" applyFont="false" applyBorder="true" applyAlignment="true" applyProtection="false">
      <alignment horizontal="center" vertical="bottom" textRotation="0" wrapText="false" indent="0" shrinkToFit="false"/>
      <protection locked="true" hidden="false"/>
    </xf>
    <xf numFmtId="166" fontId="0" fillId="0" borderId="256" xfId="0" applyFont="false" applyBorder="true" applyAlignment="false" applyProtection="false">
      <alignment horizontal="general" vertical="bottom" textRotation="0" wrapText="false" indent="0" shrinkToFit="false"/>
      <protection locked="true" hidden="false"/>
    </xf>
    <xf numFmtId="164" fontId="24" fillId="9" borderId="262" xfId="0" applyFont="true" applyBorder="true" applyAlignment="true" applyProtection="false">
      <alignment horizontal="center" vertical="bottom" textRotation="0" wrapText="false" indent="0" shrinkToFit="false"/>
      <protection locked="true" hidden="false"/>
    </xf>
    <xf numFmtId="166" fontId="0" fillId="0" borderId="263" xfId="0" applyFont="false" applyBorder="true" applyAlignment="true" applyProtection="false">
      <alignment horizontal="left" vertical="bottom" textRotation="0" wrapText="false" indent="0" shrinkToFit="false"/>
      <protection locked="true" hidden="false"/>
    </xf>
    <xf numFmtId="166" fontId="0" fillId="0" borderId="264" xfId="0" applyFont="false" applyBorder="true" applyAlignment="true" applyProtection="false">
      <alignment horizontal="center" vertical="bottom" textRotation="0" wrapText="false" indent="0" shrinkToFit="false"/>
      <protection locked="true" hidden="false"/>
    </xf>
    <xf numFmtId="166" fontId="0" fillId="0" borderId="265" xfId="0" applyFont="false" applyBorder="true" applyAlignment="true" applyProtection="false">
      <alignment horizontal="center" vertical="bottom" textRotation="0" wrapText="false" indent="0" shrinkToFit="false"/>
      <protection locked="true" hidden="false"/>
    </xf>
    <xf numFmtId="166" fontId="0" fillId="0" borderId="265" xfId="0" applyFont="false" applyBorder="true" applyAlignment="false" applyProtection="false">
      <alignment horizontal="general" vertical="bottom" textRotation="0" wrapText="false" indent="0" shrinkToFit="false"/>
      <protection locked="true" hidden="false"/>
    </xf>
    <xf numFmtId="164" fontId="0" fillId="2" borderId="266" xfId="0" applyFont="false" applyBorder="true" applyAlignment="false" applyProtection="false">
      <alignment horizontal="general" vertical="bottom" textRotation="0" wrapText="false" indent="0" shrinkToFit="false"/>
      <protection locked="true" hidden="false"/>
    </xf>
    <xf numFmtId="164" fontId="21" fillId="9" borderId="266" xfId="0" applyFont="true" applyBorder="true" applyAlignment="true" applyProtection="false">
      <alignment horizontal="left" vertical="bottom" textRotation="0" wrapText="false" indent="0" shrinkToFit="false"/>
      <protection locked="true" hidden="false"/>
    </xf>
    <xf numFmtId="164" fontId="21" fillId="9" borderId="266" xfId="0" applyFont="true" applyBorder="true" applyAlignment="false" applyProtection="false">
      <alignment horizontal="general" vertical="bottom" textRotation="0" wrapText="false" indent="0" shrinkToFit="false"/>
      <protection locked="true" hidden="false"/>
    </xf>
    <xf numFmtId="164" fontId="21" fillId="9" borderId="262" xfId="0" applyFont="true" applyBorder="true" applyAlignment="false" applyProtection="false">
      <alignment horizontal="general" vertical="bottom" textRotation="0" wrapText="false" indent="0" shrinkToFit="false"/>
      <protection locked="true" hidden="false"/>
    </xf>
    <xf numFmtId="164" fontId="0" fillId="2" borderId="267" xfId="0" applyFont="false" applyBorder="true" applyAlignment="true" applyProtection="false">
      <alignment horizontal="center" vertical="center" textRotation="0" wrapText="false" indent="0" shrinkToFit="false"/>
      <protection locked="true" hidden="false"/>
    </xf>
    <xf numFmtId="166" fontId="25" fillId="39" borderId="245" xfId="0" applyFont="true" applyBorder="true" applyAlignment="true" applyProtection="false">
      <alignment horizontal="center" vertical="center" textRotation="0" wrapText="false" indent="0" shrinkToFit="false"/>
      <protection locked="true" hidden="false"/>
    </xf>
    <xf numFmtId="166" fontId="0" fillId="39" borderId="200" xfId="0" applyFont="false" applyBorder="true" applyAlignment="true" applyProtection="false">
      <alignment horizontal="center" vertical="center" textRotation="0" wrapText="false" indent="0" shrinkToFit="false"/>
      <protection locked="true" hidden="false"/>
    </xf>
    <xf numFmtId="166" fontId="0" fillId="39" borderId="243" xfId="0" applyFont="false" applyBorder="true" applyAlignment="true" applyProtection="false">
      <alignment horizontal="center" vertical="center" textRotation="0" wrapText="false" indent="0" shrinkToFit="false"/>
      <protection locked="true" hidden="false"/>
    </xf>
    <xf numFmtId="166" fontId="0" fillId="39" borderId="202" xfId="0" applyFont="false" applyBorder="true" applyAlignment="true" applyProtection="false">
      <alignment horizontal="center" vertical="center" textRotation="0" wrapText="false" indent="0" shrinkToFit="false"/>
      <protection locked="true" hidden="false"/>
    </xf>
    <xf numFmtId="166" fontId="25" fillId="39" borderId="200" xfId="0" applyFont="true" applyBorder="true" applyAlignment="true" applyProtection="false">
      <alignment horizontal="center" vertical="center" textRotation="0" wrapText="false" indent="0" shrinkToFit="false"/>
      <protection locked="true" hidden="false"/>
    </xf>
    <xf numFmtId="164" fontId="24" fillId="17" borderId="268" xfId="0" applyFont="true" applyBorder="true" applyAlignment="true" applyProtection="false">
      <alignment horizontal="center" vertical="bottom" textRotation="0" wrapText="false" indent="0" shrinkToFit="false"/>
      <protection locked="true" hidden="false"/>
    </xf>
    <xf numFmtId="166" fontId="0" fillId="0" borderId="269" xfId="0" applyFont="false" applyBorder="true" applyAlignment="true" applyProtection="false">
      <alignment horizontal="left" vertical="bottom" textRotation="0" wrapText="false" indent="0" shrinkToFit="false"/>
      <protection locked="true" hidden="false"/>
    </xf>
    <xf numFmtId="166" fontId="0" fillId="0" borderId="270" xfId="0" applyFont="false" applyBorder="true" applyAlignment="true" applyProtection="false">
      <alignment horizontal="center" vertical="bottom" textRotation="0" wrapText="false" indent="0" shrinkToFit="false"/>
      <protection locked="true" hidden="false"/>
    </xf>
    <xf numFmtId="166" fontId="0" fillId="0" borderId="271" xfId="0" applyFont="false" applyBorder="true" applyAlignment="true" applyProtection="false">
      <alignment horizontal="center" vertical="bottom" textRotation="0" wrapText="false" indent="0" shrinkToFit="false"/>
      <protection locked="true" hidden="false"/>
    </xf>
    <xf numFmtId="166" fontId="0" fillId="0" borderId="270" xfId="0" applyFont="false" applyBorder="true" applyAlignment="false" applyProtection="false">
      <alignment horizontal="general" vertical="bottom" textRotation="0" wrapText="false" indent="0" shrinkToFit="false"/>
      <protection locked="true" hidden="false"/>
    </xf>
    <xf numFmtId="164" fontId="0" fillId="2" borderId="272" xfId="0" applyFont="false" applyBorder="true" applyAlignment="false" applyProtection="false">
      <alignment horizontal="general" vertical="bottom" textRotation="0" wrapText="false" indent="0" shrinkToFit="false"/>
      <protection locked="true" hidden="false"/>
    </xf>
    <xf numFmtId="164" fontId="21" fillId="17" borderId="272" xfId="0" applyFont="true" applyBorder="true" applyAlignment="true" applyProtection="false">
      <alignment horizontal="left" vertical="bottom" textRotation="0" wrapText="false" indent="0" shrinkToFit="false"/>
      <protection locked="true" hidden="false"/>
    </xf>
    <xf numFmtId="164" fontId="21" fillId="17" borderId="272" xfId="0" applyFont="true" applyBorder="true" applyAlignment="false" applyProtection="false">
      <alignment horizontal="general" vertical="bottom" textRotation="0" wrapText="false" indent="0" shrinkToFit="false"/>
      <protection locked="true" hidden="false"/>
    </xf>
    <xf numFmtId="164" fontId="21" fillId="17" borderId="273" xfId="0" applyFont="true" applyBorder="true" applyAlignment="false" applyProtection="false">
      <alignment horizontal="general" vertical="bottom" textRotation="0" wrapText="false" indent="0" shrinkToFit="false"/>
      <protection locked="true" hidden="false"/>
    </xf>
    <xf numFmtId="166" fontId="0" fillId="39" borderId="206" xfId="0" applyFont="false" applyBorder="true" applyAlignment="true" applyProtection="false">
      <alignment horizontal="center" vertical="center" textRotation="0" wrapText="false" indent="0" shrinkToFit="false"/>
      <protection locked="true" hidden="false"/>
    </xf>
    <xf numFmtId="166" fontId="0" fillId="39" borderId="208"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24" fillId="11" borderId="274" xfId="0" applyFont="true" applyBorder="true" applyAlignment="true" applyProtection="false">
      <alignment horizontal="center" vertical="bottom" textRotation="0" wrapText="false" indent="0" shrinkToFit="false"/>
      <protection locked="true" hidden="false"/>
    </xf>
    <xf numFmtId="166" fontId="0" fillId="0" borderId="275" xfId="0" applyFont="false" applyBorder="true" applyAlignment="true" applyProtection="false">
      <alignment horizontal="left" vertical="bottom" textRotation="0" wrapText="false" indent="0" shrinkToFit="false"/>
      <protection locked="true" hidden="false"/>
    </xf>
    <xf numFmtId="166" fontId="0" fillId="0" borderId="276" xfId="0" applyFont="false" applyBorder="true" applyAlignment="true" applyProtection="false">
      <alignment horizontal="center" vertical="bottom" textRotation="0" wrapText="false" indent="0" shrinkToFit="false"/>
      <protection locked="true" hidden="false"/>
    </xf>
    <xf numFmtId="166" fontId="0" fillId="0" borderId="277" xfId="0" applyFont="false" applyBorder="true" applyAlignment="true" applyProtection="false">
      <alignment horizontal="center" vertical="bottom" textRotation="0" wrapText="false" indent="0" shrinkToFit="false"/>
      <protection locked="true" hidden="false"/>
    </xf>
    <xf numFmtId="166" fontId="0" fillId="0" borderId="278" xfId="0" applyFont="false" applyBorder="true" applyAlignment="false" applyProtection="false">
      <alignment horizontal="general" vertical="bottom" textRotation="0" wrapText="false" indent="0" shrinkToFit="false"/>
      <protection locked="true" hidden="false"/>
    </xf>
    <xf numFmtId="164" fontId="0" fillId="2" borderId="277" xfId="0" applyFont="false" applyBorder="true" applyAlignment="false" applyProtection="false">
      <alignment horizontal="general" vertical="bottom" textRotation="0" wrapText="false" indent="0" shrinkToFit="false"/>
      <protection locked="true" hidden="false"/>
    </xf>
    <xf numFmtId="164" fontId="24" fillId="11" borderId="279" xfId="0" applyFont="true" applyBorder="true" applyAlignment="true" applyProtection="false">
      <alignment horizontal="left" vertical="center" textRotation="0" wrapText="false" indent="0" shrinkToFit="false"/>
      <protection locked="true" hidden="false"/>
    </xf>
    <xf numFmtId="164" fontId="24" fillId="11" borderId="276" xfId="0" applyFont="true" applyBorder="true" applyAlignment="true" applyProtection="false">
      <alignment horizontal="center" vertical="center" textRotation="0" wrapText="false" indent="0" shrinkToFit="false"/>
      <protection locked="true" hidden="false"/>
    </xf>
    <xf numFmtId="164" fontId="24" fillId="11" borderId="280" xfId="0" applyFont="true" applyBorder="true" applyAlignment="true" applyProtection="false">
      <alignment horizontal="center" vertical="center" textRotation="0" wrapText="false" indent="0" shrinkToFit="false"/>
      <protection locked="true" hidden="false"/>
    </xf>
    <xf numFmtId="164" fontId="0" fillId="2" borderId="281" xfId="0" applyFont="false" applyBorder="true" applyAlignment="true" applyProtection="false">
      <alignment horizontal="center" vertical="center" textRotation="0" wrapText="false" indent="0" shrinkToFit="false"/>
      <protection locked="true" hidden="false"/>
    </xf>
    <xf numFmtId="164" fontId="0" fillId="39" borderId="231" xfId="0" applyFont="false" applyBorder="true" applyAlignment="true" applyProtection="false">
      <alignment horizontal="center" vertical="center" textRotation="0" wrapText="false" indent="0" shrinkToFit="false"/>
      <protection locked="true" hidden="false"/>
    </xf>
    <xf numFmtId="164" fontId="24" fillId="19" borderId="282" xfId="0" applyFont="true" applyBorder="true" applyAlignment="true" applyProtection="false">
      <alignment horizontal="center" vertical="bottom" textRotation="0" wrapText="false" indent="0" shrinkToFit="false"/>
      <protection locked="true" hidden="false"/>
    </xf>
    <xf numFmtId="166" fontId="0" fillId="0" borderId="283" xfId="0" applyFont="false" applyBorder="true" applyAlignment="true" applyProtection="false">
      <alignment horizontal="left" vertical="bottom" textRotation="0" wrapText="false" indent="0" shrinkToFit="false"/>
      <protection locked="true" hidden="false"/>
    </xf>
    <xf numFmtId="166" fontId="0" fillId="0" borderId="284" xfId="0" applyFont="false" applyBorder="true" applyAlignment="true" applyProtection="false">
      <alignment horizontal="center" vertical="bottom" textRotation="0" wrapText="false" indent="0" shrinkToFit="false"/>
      <protection locked="true" hidden="false"/>
    </xf>
    <xf numFmtId="166" fontId="0" fillId="0" borderId="285" xfId="0" applyFont="false" applyBorder="true" applyAlignment="false" applyProtection="false">
      <alignment horizontal="general" vertical="bottom" textRotation="0" wrapText="false" indent="0" shrinkToFit="false"/>
      <protection locked="true" hidden="false"/>
    </xf>
    <xf numFmtId="164" fontId="0" fillId="2" borderId="286" xfId="0" applyFont="false" applyBorder="true" applyAlignment="false" applyProtection="false">
      <alignment horizontal="general" vertical="bottom" textRotation="0" wrapText="false" indent="0" shrinkToFit="false"/>
      <protection locked="true" hidden="false"/>
    </xf>
    <xf numFmtId="164" fontId="24" fillId="19" borderId="287" xfId="0" applyFont="true" applyBorder="true" applyAlignment="true" applyProtection="false">
      <alignment horizontal="left" vertical="center" textRotation="0" wrapText="false" indent="0" shrinkToFit="false"/>
      <protection locked="true" hidden="false"/>
    </xf>
    <xf numFmtId="164" fontId="24" fillId="19" borderId="288" xfId="0" applyFont="true" applyBorder="true" applyAlignment="true" applyProtection="false">
      <alignment horizontal="center" vertical="center" textRotation="0" wrapText="false" indent="0" shrinkToFit="false"/>
      <protection locked="true" hidden="false"/>
    </xf>
    <xf numFmtId="164" fontId="24" fillId="19" borderId="289" xfId="0" applyFont="true" applyBorder="true" applyAlignment="true" applyProtection="false">
      <alignment horizontal="center" vertical="center" textRotation="0" wrapText="false" indent="0" shrinkToFit="false"/>
      <protection locked="true" hidden="false"/>
    </xf>
    <xf numFmtId="164" fontId="24" fillId="11" borderId="290" xfId="0" applyFont="true" applyBorder="true" applyAlignment="true" applyProtection="false">
      <alignment horizontal="center" vertical="bottom" textRotation="0" wrapText="false" indent="0" shrinkToFit="false"/>
      <protection locked="true" hidden="false"/>
    </xf>
    <xf numFmtId="166" fontId="0" fillId="0" borderId="291" xfId="0" applyFont="false" applyBorder="true" applyAlignment="true" applyProtection="false">
      <alignment horizontal="left" vertical="bottom" textRotation="0" wrapText="false" indent="0" shrinkToFit="false"/>
      <protection locked="true" hidden="false"/>
    </xf>
    <xf numFmtId="166" fontId="0" fillId="0" borderId="291" xfId="0" applyFont="false" applyBorder="true" applyAlignment="true" applyProtection="false">
      <alignment horizontal="center" vertical="bottom" textRotation="0" wrapText="false" indent="0" shrinkToFit="false"/>
      <protection locked="true" hidden="false"/>
    </xf>
    <xf numFmtId="166" fontId="0" fillId="0" borderId="292" xfId="0" applyFont="false" applyBorder="true" applyAlignment="true" applyProtection="false">
      <alignment horizontal="center" vertical="bottom" textRotation="0" wrapText="false" indent="0" shrinkToFit="false"/>
      <protection locked="true" hidden="false"/>
    </xf>
    <xf numFmtId="166" fontId="0" fillId="0" borderId="292" xfId="0" applyFont="false" applyBorder="true" applyAlignment="false" applyProtection="false">
      <alignment horizontal="general" vertical="bottom" textRotation="0" wrapText="false" indent="0" shrinkToFit="false"/>
      <protection locked="true" hidden="false"/>
    </xf>
    <xf numFmtId="164" fontId="0" fillId="2" borderId="293" xfId="0" applyFont="false" applyBorder="true" applyAlignment="false" applyProtection="false">
      <alignment horizontal="general" vertical="bottom" textRotation="0" wrapText="false" indent="0" shrinkToFit="false"/>
      <protection locked="true" hidden="false"/>
    </xf>
    <xf numFmtId="166" fontId="25" fillId="0" borderId="291" xfId="0" applyFont="true" applyBorder="true" applyAlignment="true" applyProtection="false">
      <alignment horizontal="left" vertical="bottom" textRotation="0" wrapText="false" indent="0" shrinkToFit="false"/>
      <protection locked="true" hidden="false"/>
    </xf>
    <xf numFmtId="166" fontId="25" fillId="0" borderId="291" xfId="0" applyFont="true" applyBorder="true" applyAlignment="true" applyProtection="false">
      <alignment horizontal="center" vertical="center" textRotation="0" wrapText="false" indent="0" shrinkToFit="false"/>
      <protection locked="true" hidden="false"/>
    </xf>
    <xf numFmtId="166" fontId="0" fillId="0" borderId="291" xfId="0" applyFont="false" applyBorder="true" applyAlignment="true" applyProtection="false">
      <alignment horizontal="center" vertical="center" textRotation="0" wrapText="false" indent="0" shrinkToFit="false"/>
      <protection locked="true" hidden="false"/>
    </xf>
    <xf numFmtId="166" fontId="0" fillId="0" borderId="294" xfId="0" applyFont="false" applyBorder="true" applyAlignment="true" applyProtection="false">
      <alignment horizontal="center" vertical="center" textRotation="0" wrapText="false" indent="0" shrinkToFit="false"/>
      <protection locked="true" hidden="false"/>
    </xf>
    <xf numFmtId="164" fontId="25" fillId="19" borderId="295" xfId="0" applyFont="true" applyBorder="true" applyAlignment="true" applyProtection="false">
      <alignment horizontal="center" vertical="bottom" textRotation="0" wrapText="false" indent="0" shrinkToFit="false"/>
      <protection locked="true" hidden="false"/>
    </xf>
    <xf numFmtId="166" fontId="0" fillId="0" borderId="296" xfId="0" applyFont="false" applyBorder="true" applyAlignment="true" applyProtection="false">
      <alignment horizontal="left" vertical="bottom" textRotation="0" wrapText="false" indent="0" shrinkToFit="false"/>
      <protection locked="true" hidden="false"/>
    </xf>
    <xf numFmtId="166" fontId="0" fillId="0" borderId="297" xfId="0" applyFont="false" applyBorder="true" applyAlignment="true" applyProtection="false">
      <alignment horizontal="center" vertical="bottom" textRotation="0" wrapText="false" indent="0" shrinkToFit="false"/>
      <protection locked="true" hidden="false"/>
    </xf>
    <xf numFmtId="166" fontId="0" fillId="0" borderId="298" xfId="0" applyFont="false" applyBorder="true" applyAlignment="false" applyProtection="false">
      <alignment horizontal="general" vertical="bottom" textRotation="0" wrapText="false" indent="0" shrinkToFit="false"/>
      <protection locked="true" hidden="false"/>
    </xf>
    <xf numFmtId="166" fontId="25" fillId="0" borderId="299" xfId="0" applyFont="true" applyBorder="true" applyAlignment="true" applyProtection="false">
      <alignment horizontal="left" vertical="bottom" textRotation="0" wrapText="false" indent="0" shrinkToFit="false"/>
      <protection locked="true" hidden="false"/>
    </xf>
    <xf numFmtId="166" fontId="25" fillId="0" borderId="300" xfId="0" applyFont="true" applyBorder="true" applyAlignment="true" applyProtection="false">
      <alignment horizontal="center" vertical="center" textRotation="0" wrapText="false" indent="0" shrinkToFit="false"/>
      <protection locked="true" hidden="false"/>
    </xf>
    <xf numFmtId="166" fontId="0" fillId="0" borderId="301" xfId="0" applyFont="false" applyBorder="true" applyAlignment="true" applyProtection="false">
      <alignment horizontal="center" vertical="center" textRotation="0" wrapText="false" indent="0" shrinkToFit="false"/>
      <protection locked="true" hidden="false"/>
    </xf>
    <xf numFmtId="166" fontId="0" fillId="0" borderId="299" xfId="0" applyFont="false" applyBorder="true" applyAlignment="true" applyProtection="false">
      <alignment horizontal="center" vertical="center" textRotation="0" wrapText="false" indent="0" shrinkToFit="false"/>
      <protection locked="true" hidden="false"/>
    </xf>
    <xf numFmtId="166" fontId="0" fillId="0" borderId="302" xfId="0" applyFont="false" applyBorder="true" applyAlignment="true" applyProtection="false">
      <alignment horizontal="center" vertical="center" textRotation="0" wrapText="false" indent="0" shrinkToFit="false"/>
      <protection locked="true" hidden="false"/>
    </xf>
    <xf numFmtId="166" fontId="0" fillId="0" borderId="303" xfId="0" applyFont="false" applyBorder="true" applyAlignment="true" applyProtection="false">
      <alignment horizontal="left" vertical="bottom" textRotation="0" wrapText="false" indent="0" shrinkToFit="false"/>
      <protection locked="true" hidden="false"/>
    </xf>
    <xf numFmtId="166" fontId="0" fillId="0" borderId="303" xfId="0" applyFont="false" applyBorder="true" applyAlignment="true" applyProtection="false">
      <alignment horizontal="center" vertical="bottom" textRotation="0" wrapText="false" indent="0" shrinkToFit="false"/>
      <protection locked="true" hidden="false"/>
    </xf>
    <xf numFmtId="166" fontId="0" fillId="0" borderId="304" xfId="0" applyFont="false" applyBorder="true" applyAlignment="true" applyProtection="false">
      <alignment horizontal="center" vertical="bottom" textRotation="0" wrapText="false" indent="0" shrinkToFit="false"/>
      <protection locked="true" hidden="false"/>
    </xf>
    <xf numFmtId="166" fontId="0" fillId="0" borderId="304" xfId="0" applyFont="false" applyBorder="true" applyAlignment="false" applyProtection="false">
      <alignment horizontal="general" vertical="bottom" textRotation="0" wrapText="false" indent="0" shrinkToFit="false"/>
      <protection locked="true" hidden="false"/>
    </xf>
    <xf numFmtId="166" fontId="25" fillId="0" borderId="303" xfId="0" applyFont="true" applyBorder="true" applyAlignment="true" applyProtection="false">
      <alignment horizontal="left" vertical="bottom" textRotation="0" wrapText="false" indent="0" shrinkToFit="false"/>
      <protection locked="true" hidden="false"/>
    </xf>
    <xf numFmtId="166" fontId="25" fillId="0" borderId="303" xfId="0" applyFont="true" applyBorder="true" applyAlignment="true" applyProtection="false">
      <alignment horizontal="center" vertical="center" textRotation="0" wrapText="false" indent="0" shrinkToFit="false"/>
      <protection locked="true" hidden="false"/>
    </xf>
    <xf numFmtId="166" fontId="0" fillId="0" borderId="303" xfId="0" applyFont="false" applyBorder="true" applyAlignment="true" applyProtection="false">
      <alignment horizontal="center" vertical="center" textRotation="0" wrapText="false" indent="0" shrinkToFit="false"/>
      <protection locked="true" hidden="false"/>
    </xf>
    <xf numFmtId="164" fontId="72" fillId="7" borderId="0" xfId="0" applyFont="true" applyBorder="false" applyAlignment="true" applyProtection="false">
      <alignment horizontal="center" vertical="center" textRotation="0" wrapText="false" indent="0" shrinkToFit="false"/>
      <protection locked="true" hidden="false"/>
    </xf>
    <xf numFmtId="166" fontId="25" fillId="0" borderId="305" xfId="0" applyFont="true" applyBorder="true" applyAlignment="true" applyProtection="false">
      <alignment horizontal="left" vertical="bottom" textRotation="0" wrapText="false" indent="0" shrinkToFit="false"/>
      <protection locked="true" hidden="false"/>
    </xf>
    <xf numFmtId="166" fontId="25" fillId="0" borderId="298" xfId="0" applyFont="true" applyBorder="true" applyAlignment="true" applyProtection="false">
      <alignment horizontal="center" vertical="center" textRotation="0" wrapText="false" indent="0" shrinkToFit="false"/>
      <protection locked="true" hidden="false"/>
    </xf>
    <xf numFmtId="166" fontId="0" fillId="0" borderId="305" xfId="0" applyFont="false" applyBorder="true" applyAlignment="true" applyProtection="false">
      <alignment horizontal="center" vertical="center" textRotation="0" wrapText="false" indent="0" shrinkToFit="false"/>
      <protection locked="true" hidden="false"/>
    </xf>
    <xf numFmtId="166" fontId="0" fillId="0" borderId="306" xfId="0" applyFont="false" applyBorder="true" applyAlignment="true" applyProtection="false">
      <alignment horizontal="center" vertical="center" textRotation="0" wrapText="false" indent="0" shrinkToFit="false"/>
      <protection locked="true" hidden="false"/>
    </xf>
    <xf numFmtId="164" fontId="0" fillId="2" borderId="307" xfId="0" applyFont="false" applyBorder="true" applyAlignment="true" applyProtection="false">
      <alignment horizontal="center" vertical="center" textRotation="0" wrapText="false" indent="0" shrinkToFit="false"/>
      <protection locked="true" hidden="false"/>
    </xf>
    <xf numFmtId="164" fontId="0" fillId="2" borderId="308" xfId="0" applyFont="false" applyBorder="true" applyAlignment="true" applyProtection="false">
      <alignment horizontal="center" vertical="center" textRotation="0" wrapText="false" indent="0" shrinkToFit="false"/>
      <protection locked="true" hidden="false"/>
    </xf>
    <xf numFmtId="166" fontId="25" fillId="0" borderId="309" xfId="0" applyFont="true" applyBorder="true" applyAlignment="true" applyProtection="false">
      <alignment horizontal="left" vertical="bottom" textRotation="0" wrapText="false" indent="0" shrinkToFit="false"/>
      <protection locked="true" hidden="false"/>
    </xf>
    <xf numFmtId="166" fontId="25" fillId="0" borderId="202" xfId="0" applyFont="true" applyBorder="true" applyAlignment="true" applyProtection="false">
      <alignment horizontal="center" vertical="center" textRotation="0" wrapText="false" indent="0" shrinkToFit="false"/>
      <protection locked="true" hidden="false"/>
    </xf>
    <xf numFmtId="166" fontId="0" fillId="0" borderId="309" xfId="0" applyFont="false" applyBorder="true" applyAlignment="true" applyProtection="false">
      <alignment horizontal="center" vertical="center" textRotation="0" wrapText="false" indent="0" shrinkToFit="false"/>
      <protection locked="true" hidden="false"/>
    </xf>
    <xf numFmtId="166" fontId="0" fillId="0" borderId="310" xfId="0" applyFont="false" applyBorder="true" applyAlignment="true" applyProtection="false">
      <alignment horizontal="center" vertical="center" textRotation="0" wrapText="false" indent="0" shrinkToFit="false"/>
      <protection locked="true" hidden="false"/>
    </xf>
    <xf numFmtId="164" fontId="24" fillId="11" borderId="311" xfId="0" applyFont="true" applyBorder="true" applyAlignment="true" applyProtection="false">
      <alignment horizontal="center" vertical="bottom" textRotation="0" wrapText="false" indent="0" shrinkToFit="false"/>
      <protection locked="true" hidden="false"/>
    </xf>
    <xf numFmtId="166" fontId="0" fillId="0" borderId="312" xfId="0" applyFont="false" applyBorder="true" applyAlignment="true" applyProtection="false">
      <alignment horizontal="left" vertical="bottom" textRotation="0" wrapText="false" indent="0" shrinkToFit="false"/>
      <protection locked="true" hidden="false"/>
    </xf>
    <xf numFmtId="166" fontId="0" fillId="0" borderId="313" xfId="0" applyFont="false" applyBorder="true" applyAlignment="true" applyProtection="false">
      <alignment horizontal="center" vertical="bottom" textRotation="0" wrapText="false" indent="0" shrinkToFit="false"/>
      <protection locked="true" hidden="false"/>
    </xf>
    <xf numFmtId="166" fontId="0" fillId="0" borderId="314" xfId="0" applyFont="false" applyBorder="true" applyAlignment="true" applyProtection="false">
      <alignment horizontal="center" vertical="bottom" textRotation="0" wrapText="false" indent="0" shrinkToFit="false"/>
      <protection locked="true" hidden="false"/>
    </xf>
    <xf numFmtId="166" fontId="0" fillId="0" borderId="314" xfId="0" applyFont="false" applyBorder="true" applyAlignment="false" applyProtection="false">
      <alignment horizontal="general" vertical="bottom" textRotation="0" wrapText="false" indent="0" shrinkToFit="false"/>
      <protection locked="true" hidden="false"/>
    </xf>
    <xf numFmtId="164" fontId="0" fillId="2" borderId="315" xfId="0" applyFont="false" applyBorder="true" applyAlignment="false" applyProtection="false">
      <alignment horizontal="general" vertical="bottom" textRotation="0" wrapText="false" indent="0" shrinkToFit="false"/>
      <protection locked="true" hidden="false"/>
    </xf>
    <xf numFmtId="164" fontId="0" fillId="11" borderId="315" xfId="0" applyFont="false" applyBorder="true" applyAlignment="true" applyProtection="false">
      <alignment horizontal="left" vertical="bottom" textRotation="0" wrapText="false" indent="0" shrinkToFit="false"/>
      <protection locked="true" hidden="false"/>
    </xf>
    <xf numFmtId="164" fontId="0" fillId="11" borderId="315" xfId="0" applyFont="false" applyBorder="true" applyAlignment="false" applyProtection="false">
      <alignment horizontal="general" vertical="bottom" textRotation="0" wrapText="false" indent="0" shrinkToFit="false"/>
      <protection locked="true" hidden="false"/>
    </xf>
    <xf numFmtId="164" fontId="0" fillId="11" borderId="316" xfId="0" applyFont="false" applyBorder="true" applyAlignment="false" applyProtection="false">
      <alignment horizontal="general" vertical="bottom" textRotation="0" wrapText="false" indent="0" shrinkToFit="false"/>
      <protection locked="true" hidden="false"/>
    </xf>
    <xf numFmtId="166" fontId="25" fillId="38" borderId="245" xfId="0" applyFont="true" applyBorder="true" applyAlignment="true" applyProtection="false">
      <alignment horizontal="center" vertical="center" textRotation="0" wrapText="false" indent="0" shrinkToFit="false"/>
      <protection locked="true" hidden="false"/>
    </xf>
    <xf numFmtId="166" fontId="0" fillId="38" borderId="243" xfId="0" applyFont="false" applyBorder="true" applyAlignment="true" applyProtection="false">
      <alignment horizontal="center" vertical="center" textRotation="0" wrapText="false" indent="0" shrinkToFit="false"/>
      <protection locked="true" hidden="false"/>
    </xf>
    <xf numFmtId="164" fontId="25" fillId="19" borderId="317" xfId="0" applyFont="true" applyBorder="true" applyAlignment="true" applyProtection="false">
      <alignment horizontal="center" vertical="bottom" textRotation="0" wrapText="false" indent="0" shrinkToFit="false"/>
      <protection locked="true" hidden="false"/>
    </xf>
    <xf numFmtId="166" fontId="0" fillId="0" borderId="318" xfId="0" applyFont="false" applyBorder="true" applyAlignment="true" applyProtection="false">
      <alignment horizontal="left" vertical="bottom" textRotation="0" wrapText="false" indent="0" shrinkToFit="false"/>
      <protection locked="true" hidden="false"/>
    </xf>
    <xf numFmtId="166" fontId="0" fillId="0" borderId="319" xfId="0" applyFont="false" applyBorder="true" applyAlignment="true" applyProtection="false">
      <alignment horizontal="center" vertical="bottom" textRotation="0" wrapText="false" indent="0" shrinkToFit="false"/>
      <protection locked="true" hidden="false"/>
    </xf>
    <xf numFmtId="166" fontId="0" fillId="0" borderId="320" xfId="0" applyFont="false" applyBorder="true" applyAlignment="false" applyProtection="false">
      <alignment horizontal="general" vertical="bottom" textRotation="0" wrapText="false" indent="0" shrinkToFit="false"/>
      <protection locked="true" hidden="false"/>
    </xf>
    <xf numFmtId="164" fontId="0" fillId="2" borderId="321" xfId="0" applyFont="false" applyBorder="true" applyAlignment="false" applyProtection="false">
      <alignment horizontal="general" vertical="bottom" textRotation="0" wrapText="false" indent="0" shrinkToFit="false"/>
      <protection locked="true" hidden="false"/>
    </xf>
    <xf numFmtId="164" fontId="0" fillId="19" borderId="321" xfId="0" applyFont="false" applyBorder="true" applyAlignment="true" applyProtection="false">
      <alignment horizontal="left" vertical="bottom" textRotation="0" wrapText="false" indent="0" shrinkToFit="false"/>
      <protection locked="true" hidden="false"/>
    </xf>
    <xf numFmtId="164" fontId="0" fillId="19" borderId="321" xfId="0" applyFont="false" applyBorder="true" applyAlignment="false" applyProtection="false">
      <alignment horizontal="general" vertical="bottom" textRotation="0" wrapText="false" indent="0" shrinkToFit="false"/>
      <protection locked="true" hidden="false"/>
    </xf>
    <xf numFmtId="164" fontId="0" fillId="19" borderId="322" xfId="0" applyFont="false" applyBorder="true" applyAlignment="false" applyProtection="false">
      <alignment horizontal="general" vertical="bottom" textRotation="0" wrapText="false" indent="0" shrinkToFit="false"/>
      <protection locked="true" hidden="false"/>
    </xf>
    <xf numFmtId="164" fontId="0" fillId="2" borderId="323" xfId="0" applyFont="false" applyBorder="true" applyAlignment="true" applyProtection="false">
      <alignment horizontal="center" vertical="center" textRotation="0" wrapText="false" indent="0" shrinkToFit="false"/>
      <protection locked="true" hidden="false"/>
    </xf>
    <xf numFmtId="166" fontId="0" fillId="38" borderId="246" xfId="0" applyFont="false" applyBorder="true" applyAlignment="true" applyProtection="false">
      <alignment horizontal="center" vertical="center"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164" fontId="25" fillId="2" borderId="0" xfId="0" applyFont="true" applyBorder="false" applyAlignment="true" applyProtection="false">
      <alignment horizontal="center" vertical="center" textRotation="0" wrapText="false" indent="0" shrinkToFit="false"/>
      <protection locked="true" hidden="false"/>
    </xf>
    <xf numFmtId="164" fontId="24" fillId="13" borderId="324" xfId="0" applyFont="true" applyBorder="true" applyAlignment="true" applyProtection="false">
      <alignment horizontal="center" vertical="bottom" textRotation="0" wrapText="false" indent="0" shrinkToFit="false"/>
      <protection locked="true" hidden="false"/>
    </xf>
    <xf numFmtId="166" fontId="0" fillId="0" borderId="325" xfId="0" applyFont="false" applyBorder="true" applyAlignment="true" applyProtection="false">
      <alignment horizontal="left" vertical="bottom" textRotation="0" wrapText="false" indent="0" shrinkToFit="false"/>
      <protection locked="true" hidden="false"/>
    </xf>
    <xf numFmtId="166" fontId="0" fillId="0" borderId="326" xfId="0" applyFont="false" applyBorder="true" applyAlignment="true" applyProtection="false">
      <alignment horizontal="center" vertical="bottom" textRotation="0" wrapText="false" indent="0" shrinkToFit="false"/>
      <protection locked="true" hidden="false"/>
    </xf>
    <xf numFmtId="166" fontId="0" fillId="0" borderId="326" xfId="0" applyFont="false" applyBorder="true" applyAlignment="false" applyProtection="false">
      <alignment horizontal="general" vertical="bottom" textRotation="0" wrapText="false" indent="0" shrinkToFit="false"/>
      <protection locked="true" hidden="false"/>
    </xf>
    <xf numFmtId="164" fontId="0" fillId="2" borderId="327" xfId="0" applyFont="false" applyBorder="true" applyAlignment="false" applyProtection="false">
      <alignment horizontal="general" vertical="bottom" textRotation="0" wrapText="false" indent="0" shrinkToFit="false"/>
      <protection locked="true" hidden="false"/>
    </xf>
    <xf numFmtId="164" fontId="24" fillId="13" borderId="326" xfId="0" applyFont="true" applyBorder="true" applyAlignment="true" applyProtection="false">
      <alignment horizontal="left" vertical="center" textRotation="0" wrapText="false" indent="0" shrinkToFit="false"/>
      <protection locked="true" hidden="false"/>
    </xf>
    <xf numFmtId="164" fontId="24" fillId="13" borderId="326" xfId="0" applyFont="true" applyBorder="true" applyAlignment="true" applyProtection="false">
      <alignment horizontal="center" vertical="center" textRotation="0" wrapText="false" indent="0" shrinkToFit="false"/>
      <protection locked="true" hidden="false"/>
    </xf>
    <xf numFmtId="164" fontId="24" fillId="13" borderId="328" xfId="0" applyFont="true" applyBorder="true" applyAlignment="true" applyProtection="false">
      <alignment horizontal="center" vertical="center" textRotation="0" wrapText="false" indent="0" shrinkToFit="false"/>
      <protection locked="true" hidden="false"/>
    </xf>
    <xf numFmtId="164" fontId="0" fillId="9" borderId="0" xfId="0" applyFont="false" applyBorder="false" applyAlignment="true" applyProtection="false">
      <alignment horizontal="center" vertical="bottom" textRotation="0" wrapText="false" indent="0" shrinkToFit="false"/>
      <protection locked="true" hidden="false"/>
    </xf>
    <xf numFmtId="164" fontId="24" fillId="21" borderId="329" xfId="0" applyFont="true" applyBorder="true" applyAlignment="true" applyProtection="false">
      <alignment horizontal="center" vertical="bottom" textRotation="0" wrapText="false" indent="0" shrinkToFit="false"/>
      <protection locked="true" hidden="false"/>
    </xf>
    <xf numFmtId="166" fontId="0" fillId="0" borderId="330" xfId="0" applyFont="false" applyBorder="true" applyAlignment="true" applyProtection="false">
      <alignment horizontal="left" vertical="bottom" textRotation="0" wrapText="false" indent="0" shrinkToFit="false"/>
      <protection locked="true" hidden="false"/>
    </xf>
    <xf numFmtId="166" fontId="0" fillId="0" borderId="331" xfId="0" applyFont="false" applyBorder="true" applyAlignment="true" applyProtection="false">
      <alignment horizontal="center" vertical="bottom" textRotation="0" wrapText="false" indent="0" shrinkToFit="false"/>
      <protection locked="true" hidden="false"/>
    </xf>
    <xf numFmtId="166" fontId="0" fillId="0" borderId="331" xfId="0" applyFont="false" applyBorder="true" applyAlignment="false" applyProtection="false">
      <alignment horizontal="general" vertical="bottom" textRotation="0" wrapText="false" indent="0" shrinkToFit="false"/>
      <protection locked="true" hidden="false"/>
    </xf>
    <xf numFmtId="164" fontId="0" fillId="2" borderId="332" xfId="0" applyFont="false" applyBorder="true" applyAlignment="false" applyProtection="false">
      <alignment horizontal="general" vertical="bottom" textRotation="0" wrapText="false" indent="0" shrinkToFit="false"/>
      <protection locked="true" hidden="false"/>
    </xf>
    <xf numFmtId="164" fontId="24" fillId="21" borderId="331" xfId="0" applyFont="true" applyBorder="true" applyAlignment="true" applyProtection="false">
      <alignment horizontal="left" vertical="center" textRotation="0" wrapText="false" indent="0" shrinkToFit="false"/>
      <protection locked="true" hidden="false"/>
    </xf>
    <xf numFmtId="164" fontId="24" fillId="21" borderId="331" xfId="0" applyFont="true" applyBorder="true" applyAlignment="true" applyProtection="false">
      <alignment horizontal="center" vertical="center" textRotation="0" wrapText="false" indent="0" shrinkToFit="false"/>
      <protection locked="true" hidden="false"/>
    </xf>
    <xf numFmtId="164" fontId="24" fillId="21" borderId="333" xfId="0" applyFont="true" applyBorder="true" applyAlignment="true" applyProtection="false">
      <alignment horizontal="center" vertical="center" textRotation="0" wrapText="false" indent="0" shrinkToFit="false"/>
      <protection locked="true" hidden="false"/>
    </xf>
    <xf numFmtId="164" fontId="24" fillId="13" borderId="334" xfId="0" applyFont="true" applyBorder="true" applyAlignment="true" applyProtection="false">
      <alignment horizontal="center" vertical="bottom" textRotation="0" wrapText="false" indent="0" shrinkToFit="false"/>
      <protection locked="true" hidden="false"/>
    </xf>
    <xf numFmtId="166" fontId="0" fillId="0" borderId="335" xfId="0" applyFont="false" applyBorder="true" applyAlignment="true" applyProtection="false">
      <alignment horizontal="left" vertical="bottom" textRotation="0" wrapText="false" indent="0" shrinkToFit="false"/>
      <protection locked="true" hidden="false"/>
    </xf>
    <xf numFmtId="166" fontId="0" fillId="0" borderId="336" xfId="0" applyFont="false" applyBorder="true" applyAlignment="true" applyProtection="false">
      <alignment horizontal="center" vertical="bottom" textRotation="0" wrapText="false" indent="0" shrinkToFit="false"/>
      <protection locked="true" hidden="false"/>
    </xf>
    <xf numFmtId="166" fontId="0" fillId="0" borderId="336" xfId="0" applyFont="false" applyBorder="true" applyAlignment="false" applyProtection="false">
      <alignment horizontal="general" vertical="bottom" textRotation="0" wrapText="false" indent="0" shrinkToFit="false"/>
      <protection locked="true" hidden="false"/>
    </xf>
    <xf numFmtId="166" fontId="25" fillId="0" borderId="336" xfId="0" applyFont="true" applyBorder="true" applyAlignment="true" applyProtection="false">
      <alignment horizontal="left" vertical="bottom" textRotation="0" wrapText="false" indent="0" shrinkToFit="false"/>
      <protection locked="true" hidden="false"/>
    </xf>
    <xf numFmtId="166" fontId="25" fillId="0" borderId="336" xfId="0" applyFont="true" applyBorder="true" applyAlignment="true" applyProtection="false">
      <alignment horizontal="center" vertical="center" textRotation="0" wrapText="false" indent="0" shrinkToFit="false"/>
      <protection locked="true" hidden="false"/>
    </xf>
    <xf numFmtId="166" fontId="0" fillId="0" borderId="336" xfId="0" applyFont="false" applyBorder="true" applyAlignment="true" applyProtection="false">
      <alignment horizontal="center" vertical="center" textRotation="0" wrapText="false" indent="0" shrinkToFit="false"/>
      <protection locked="true" hidden="false"/>
    </xf>
    <xf numFmtId="166" fontId="0" fillId="0" borderId="337" xfId="0" applyFont="false" applyBorder="true" applyAlignment="true" applyProtection="false">
      <alignment horizontal="center" vertical="center" textRotation="0" wrapText="false" indent="0" shrinkToFit="false"/>
      <protection locked="true" hidden="false"/>
    </xf>
    <xf numFmtId="164" fontId="0" fillId="39" borderId="0" xfId="0" applyFont="false" applyBorder="false" applyAlignment="true" applyProtection="false">
      <alignment horizontal="left" vertical="center" textRotation="0" wrapText="false" indent="0" shrinkToFit="false"/>
      <protection locked="true" hidden="false"/>
    </xf>
    <xf numFmtId="164" fontId="0" fillId="17" borderId="0" xfId="0" applyFont="false" applyBorder="false" applyAlignment="true" applyProtection="false">
      <alignment horizontal="center" vertical="bottom" textRotation="0" wrapText="false" indent="0" shrinkToFit="false"/>
      <protection locked="true" hidden="false"/>
    </xf>
    <xf numFmtId="164" fontId="25" fillId="21" borderId="338" xfId="0" applyFont="true" applyBorder="true" applyAlignment="true" applyProtection="false">
      <alignment horizontal="center" vertical="bottom" textRotation="0" wrapText="false" indent="0" shrinkToFit="false"/>
      <protection locked="true" hidden="false"/>
    </xf>
    <xf numFmtId="166" fontId="0" fillId="0" borderId="339" xfId="0" applyFont="false" applyBorder="true" applyAlignment="true" applyProtection="false">
      <alignment horizontal="left" vertical="bottom" textRotation="0" wrapText="false" indent="0" shrinkToFit="false"/>
      <protection locked="true" hidden="false"/>
    </xf>
    <xf numFmtId="166" fontId="0" fillId="0" borderId="340" xfId="0" applyFont="false" applyBorder="true" applyAlignment="true" applyProtection="false">
      <alignment horizontal="center" vertical="bottom" textRotation="0" wrapText="false" indent="0" shrinkToFit="false"/>
      <protection locked="true" hidden="false"/>
    </xf>
    <xf numFmtId="166" fontId="0" fillId="0" borderId="340" xfId="0" applyFont="false" applyBorder="true" applyAlignment="false" applyProtection="false">
      <alignment horizontal="general" vertical="bottom" textRotation="0" wrapText="false" indent="0" shrinkToFit="false"/>
      <protection locked="true" hidden="false"/>
    </xf>
    <xf numFmtId="164" fontId="0" fillId="2" borderId="341" xfId="0" applyFont="false" applyBorder="true" applyAlignment="false" applyProtection="false">
      <alignment horizontal="general" vertical="bottom" textRotation="0" wrapText="false" indent="0" shrinkToFit="false"/>
      <protection locked="true" hidden="false"/>
    </xf>
    <xf numFmtId="166" fontId="25" fillId="0" borderId="342" xfId="0" applyFont="true" applyBorder="true" applyAlignment="true" applyProtection="false">
      <alignment horizontal="left" vertical="bottom" textRotation="0" wrapText="false" indent="0" shrinkToFit="false"/>
      <protection locked="true" hidden="false"/>
    </xf>
    <xf numFmtId="166" fontId="25" fillId="0" borderId="342" xfId="0" applyFont="true" applyBorder="true" applyAlignment="true" applyProtection="false">
      <alignment horizontal="center" vertical="center" textRotation="0" wrapText="false" indent="0" shrinkToFit="false"/>
      <protection locked="true" hidden="false"/>
    </xf>
    <xf numFmtId="166" fontId="0" fillId="0" borderId="342" xfId="0" applyFont="false" applyBorder="true" applyAlignment="true" applyProtection="false">
      <alignment horizontal="center" vertical="center" textRotation="0" wrapText="false" indent="0" shrinkToFit="false"/>
      <protection locked="true" hidden="false"/>
    </xf>
    <xf numFmtId="166" fontId="0" fillId="0" borderId="343" xfId="0" applyFont="false" applyBorder="true" applyAlignment="true" applyProtection="false">
      <alignment horizontal="center" vertical="center" textRotation="0" wrapText="false" indent="0" shrinkToFit="false"/>
      <protection locked="true" hidden="false"/>
    </xf>
    <xf numFmtId="164" fontId="21" fillId="17" borderId="0" xfId="0" applyFont="true" applyBorder="false" applyAlignment="true" applyProtection="false">
      <alignment horizontal="center" vertical="bottom" textRotation="0" wrapText="false" indent="0" shrinkToFit="false"/>
      <protection locked="true" hidden="false"/>
    </xf>
    <xf numFmtId="164" fontId="21" fillId="9" borderId="0" xfId="0" applyFont="true" applyBorder="false" applyAlignment="true" applyProtection="false">
      <alignment horizontal="center" vertical="bottom" textRotation="0" wrapText="false" indent="0" shrinkToFit="false"/>
      <protection locked="true" hidden="false"/>
    </xf>
    <xf numFmtId="164" fontId="21" fillId="40" borderId="0" xfId="0" applyFont="true" applyBorder="false" applyAlignment="true" applyProtection="false">
      <alignment horizontal="center" vertical="bottom" textRotation="0" wrapText="false" indent="0" shrinkToFit="false"/>
      <protection locked="true" hidden="false"/>
    </xf>
    <xf numFmtId="164" fontId="21" fillId="13" borderId="334" xfId="0" applyFont="true" applyBorder="true" applyAlignment="true" applyProtection="false">
      <alignment horizontal="center" vertical="bottom" textRotation="0" wrapText="false" indent="0" shrinkToFit="false"/>
      <protection locked="true" hidden="false"/>
    </xf>
    <xf numFmtId="164" fontId="0" fillId="21" borderId="338" xfId="0" applyFont="false" applyBorder="true" applyAlignment="true" applyProtection="false">
      <alignment horizontal="center" vertical="bottom" textRotation="0" wrapText="false" indent="0" shrinkToFit="false"/>
      <protection locked="true" hidden="false"/>
    </xf>
    <xf numFmtId="164" fontId="21" fillId="13" borderId="344" xfId="0" applyFont="true" applyBorder="true" applyAlignment="true" applyProtection="false">
      <alignment horizontal="center" vertical="bottom" textRotation="0" wrapText="false" indent="0" shrinkToFit="false"/>
      <protection locked="true" hidden="false"/>
    </xf>
    <xf numFmtId="166" fontId="0" fillId="0" borderId="345" xfId="0" applyFont="false" applyBorder="true" applyAlignment="true" applyProtection="false">
      <alignment horizontal="left" vertical="bottom" textRotation="0" wrapText="false" indent="0" shrinkToFit="false"/>
      <protection locked="true" hidden="false"/>
    </xf>
    <xf numFmtId="166" fontId="0" fillId="0" borderId="346" xfId="0" applyFont="false" applyBorder="true" applyAlignment="true" applyProtection="false">
      <alignment horizontal="center" vertical="bottom" textRotation="0" wrapText="false" indent="0" shrinkToFit="false"/>
      <protection locked="true" hidden="false"/>
    </xf>
    <xf numFmtId="166" fontId="0" fillId="0" borderId="346" xfId="0" applyFont="false" applyBorder="true" applyAlignment="false" applyProtection="false">
      <alignment horizontal="general" vertical="bottom" textRotation="0" wrapText="false" indent="0" shrinkToFit="false"/>
      <protection locked="true" hidden="false"/>
    </xf>
    <xf numFmtId="164" fontId="0" fillId="2" borderId="347" xfId="0" applyFont="false" applyBorder="true" applyAlignment="false" applyProtection="false">
      <alignment horizontal="general" vertical="bottom" textRotation="0" wrapText="false" indent="0" shrinkToFit="false"/>
      <protection locked="true" hidden="false"/>
    </xf>
    <xf numFmtId="164" fontId="21" fillId="13" borderId="347" xfId="0" applyFont="true" applyBorder="true" applyAlignment="false" applyProtection="false">
      <alignment horizontal="general" vertical="bottom" textRotation="0" wrapText="false" indent="0" shrinkToFit="false"/>
      <protection locked="true" hidden="false"/>
    </xf>
    <xf numFmtId="164" fontId="21" fillId="13" borderId="348" xfId="0" applyFont="true" applyBorder="true" applyAlignment="false" applyProtection="false">
      <alignment horizontal="general" vertical="bottom" textRotation="0" wrapText="false" indent="0" shrinkToFit="false"/>
      <protection locked="true" hidden="false"/>
    </xf>
    <xf numFmtId="164" fontId="0" fillId="21" borderId="349" xfId="0" applyFont="false" applyBorder="true" applyAlignment="true" applyProtection="false">
      <alignment horizontal="center" vertical="bottom" textRotation="0" wrapText="false" indent="0" shrinkToFit="false"/>
      <protection locked="true" hidden="false"/>
    </xf>
    <xf numFmtId="166" fontId="0" fillId="0" borderId="350" xfId="0" applyFont="false" applyBorder="true" applyAlignment="true" applyProtection="false">
      <alignment horizontal="left" vertical="bottom" textRotation="0" wrapText="false" indent="0" shrinkToFit="false"/>
      <protection locked="true" hidden="false"/>
    </xf>
    <xf numFmtId="166" fontId="0" fillId="0" borderId="351" xfId="0" applyFont="false" applyBorder="true" applyAlignment="true" applyProtection="false">
      <alignment horizontal="center" vertical="bottom" textRotation="0" wrapText="false" indent="0" shrinkToFit="false"/>
      <protection locked="true" hidden="false"/>
    </xf>
    <xf numFmtId="166" fontId="0" fillId="0" borderId="351" xfId="0" applyFont="false" applyBorder="true" applyAlignment="false" applyProtection="false">
      <alignment horizontal="general" vertical="bottom" textRotation="0" wrapText="false" indent="0" shrinkToFit="false"/>
      <protection locked="true" hidden="false"/>
    </xf>
    <xf numFmtId="164" fontId="0" fillId="2" borderId="352" xfId="0" applyFont="false" applyBorder="true" applyAlignment="false" applyProtection="false">
      <alignment horizontal="general" vertical="bottom" textRotation="0" wrapText="false" indent="0" shrinkToFit="false"/>
      <protection locked="true" hidden="false"/>
    </xf>
    <xf numFmtId="164" fontId="0" fillId="21" borderId="352" xfId="0" applyFont="false" applyBorder="true" applyAlignment="false" applyProtection="false">
      <alignment horizontal="general" vertical="bottom" textRotation="0" wrapText="false" indent="0" shrinkToFit="false"/>
      <protection locked="true" hidden="false"/>
    </xf>
    <xf numFmtId="164" fontId="0" fillId="21" borderId="353" xfId="0" applyFont="fals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true">
      <alignment horizontal="general" vertical="bottom" textRotation="0" wrapText="false" indent="0" shrinkToFit="false"/>
      <protection locked="true" hidden="true"/>
    </xf>
    <xf numFmtId="172" fontId="39" fillId="0" borderId="0" xfId="0" applyFont="true" applyBorder="false" applyAlignment="true" applyProtection="true">
      <alignment horizontal="center" vertical="center" textRotation="0" wrapText="false" indent="0" shrinkToFit="false"/>
      <protection locked="true" hidden="true"/>
    </xf>
    <xf numFmtId="172" fontId="21" fillId="0" borderId="0" xfId="0" applyFont="true" applyBorder="false" applyAlignment="false" applyProtection="false">
      <alignment horizontal="general" vertical="bottom" textRotation="0" wrapText="false" indent="0" shrinkToFit="false"/>
      <protection locked="true" hidden="false"/>
    </xf>
    <xf numFmtId="174" fontId="21" fillId="0" borderId="0" xfId="0" applyFont="true" applyBorder="false" applyAlignment="false" applyProtection="false">
      <alignment horizontal="general" vertical="bottom" textRotation="0" wrapText="false" indent="0" shrinkToFit="false"/>
      <protection locked="true" hidden="false"/>
    </xf>
    <xf numFmtId="172" fontId="39" fillId="0" borderId="0" xfId="0" applyFont="true" applyBorder="false" applyAlignment="false" applyProtection="true">
      <alignment horizontal="general" vertical="bottom" textRotation="0" wrapText="false" indent="0" shrinkToFit="false"/>
      <protection locked="true" hidden="true"/>
    </xf>
    <xf numFmtId="175" fontId="21" fillId="0" borderId="0" xfId="0" applyFont="true" applyBorder="false" applyAlignment="false" applyProtection="true">
      <alignment horizontal="general" vertical="bottom" textRotation="0" wrapText="false" indent="0" shrinkToFit="false"/>
      <protection locked="true" hidden="true"/>
    </xf>
    <xf numFmtId="164" fontId="73" fillId="0" borderId="0" xfId="0" applyFont="true" applyBorder="false" applyAlignment="false" applyProtection="false">
      <alignment horizontal="general" vertical="bottom" textRotation="0" wrapText="false" indent="0" shrinkToFit="false"/>
      <protection locked="true" hidden="false"/>
    </xf>
    <xf numFmtId="172" fontId="42" fillId="0" borderId="0" xfId="0" applyFont="true" applyBorder="false" applyAlignment="false" applyProtection="true">
      <alignment horizontal="general" vertical="bottom" textRotation="0" wrapText="false" indent="0" shrinkToFit="false"/>
      <protection locked="true" hidden="true"/>
    </xf>
    <xf numFmtId="172" fontId="42" fillId="0" borderId="0" xfId="0" applyFont="true" applyBorder="false" applyAlignment="true" applyProtection="true">
      <alignment horizontal="general" vertical="center" textRotation="0" wrapText="false" indent="0" shrinkToFit="false"/>
      <protection locked="true" hidden="true"/>
    </xf>
    <xf numFmtId="172" fontId="42" fillId="0" borderId="0" xfId="0" applyFont="true" applyBorder="false" applyAlignment="true" applyProtection="true">
      <alignment horizontal="center" vertical="center" textRotation="0" wrapText="false" indent="0" shrinkToFit="false"/>
      <protection locked="true" hidden="true"/>
    </xf>
    <xf numFmtId="173" fontId="21" fillId="0" borderId="0" xfId="0" applyFont="true" applyBorder="false" applyAlignment="false" applyProtection="true">
      <alignment horizontal="general" vertical="bottom" textRotation="0" wrapText="false" indent="0" shrinkToFit="false"/>
      <protection locked="true" hidden="true"/>
    </xf>
    <xf numFmtId="164" fontId="21" fillId="2" borderId="0" xfId="0" applyFont="true" applyBorder="false" applyAlignment="true" applyProtection="false">
      <alignment horizontal="left" vertical="bottom" textRotation="0" wrapText="false" indent="0" shrinkToFit="false"/>
      <protection locked="true" hidden="false"/>
    </xf>
    <xf numFmtId="164" fontId="24" fillId="2" borderId="0" xfId="0" applyFont="true" applyBorder="false" applyAlignment="true" applyProtection="false">
      <alignment horizontal="left" vertical="bottom" textRotation="0" wrapText="false" indent="1" shrinkToFit="false"/>
      <protection locked="true" hidden="false"/>
    </xf>
    <xf numFmtId="164" fontId="21" fillId="2" borderId="0" xfId="0" applyFont="true" applyBorder="false" applyAlignment="true" applyProtection="true">
      <alignment horizontal="left" vertical="bottom" textRotation="0" wrapText="false" indent="1" shrinkToFit="false"/>
      <protection locked="true" hidden="true"/>
    </xf>
    <xf numFmtId="166" fontId="21" fillId="2" borderId="0" xfId="0" applyFont="true" applyBorder="false" applyAlignment="true" applyProtection="true">
      <alignment horizontal="left" vertical="bottom" textRotation="0" wrapText="false" indent="0" shrinkToFit="false"/>
      <protection locked="false" hidden="false"/>
    </xf>
    <xf numFmtId="164" fontId="21" fillId="2" borderId="0" xfId="0" applyFont="true" applyBorder="false" applyAlignment="true" applyProtection="true">
      <alignment horizontal="left" vertical="bottom" textRotation="0" wrapText="false" indent="1" shrinkToFit="false"/>
      <protection locked="false" hidden="false"/>
    </xf>
    <xf numFmtId="164" fontId="74" fillId="2" borderId="0" xfId="0" applyFont="true" applyBorder="false" applyAlignment="true" applyProtection="false">
      <alignment horizontal="center" vertical="bottom" textRotation="0" wrapText="true" indent="0" shrinkToFit="false"/>
      <protection locked="true" hidden="false"/>
    </xf>
    <xf numFmtId="164" fontId="75" fillId="2" borderId="0" xfId="0" applyFont="true" applyBorder="false" applyAlignment="false" applyProtection="false">
      <alignment horizontal="general" vertical="bottom" textRotation="0" wrapText="false" indent="0" shrinkToFit="false"/>
      <protection locked="true" hidden="false"/>
    </xf>
    <xf numFmtId="164" fontId="73" fillId="2" borderId="0" xfId="0" applyFont="true" applyBorder="false" applyAlignment="false" applyProtection="false">
      <alignment horizontal="general" vertical="bottom" textRotation="0" wrapText="false" indent="0" shrinkToFit="false"/>
      <protection locked="true" hidden="false"/>
    </xf>
    <xf numFmtId="164" fontId="0" fillId="2" borderId="0" xfId="21" applyFont="false" applyBorder="false" applyAlignment="false" applyProtection="false">
      <alignment horizontal="general" vertical="bottom" textRotation="0" wrapText="false" indent="0" shrinkToFit="false"/>
      <protection locked="true" hidden="false"/>
    </xf>
    <xf numFmtId="164" fontId="0" fillId="2" borderId="0" xfId="21" applyFont="false" applyBorder="false" applyAlignment="false" applyProtection="true">
      <alignment horizontal="general" vertical="bottom" textRotation="0" wrapText="false" indent="0" shrinkToFit="false"/>
      <protection locked="true" hidden="true"/>
    </xf>
    <xf numFmtId="164" fontId="0" fillId="2" borderId="0" xfId="21" applyFont="false" applyBorder="false" applyAlignment="true" applyProtection="true">
      <alignment horizontal="general" vertical="top" textRotation="0" wrapText="true" indent="0" shrinkToFit="false"/>
      <protection locked="true" hidden="true"/>
    </xf>
    <xf numFmtId="164" fontId="25" fillId="2" borderId="0" xfId="21" applyFont="true" applyBorder="false" applyAlignment="true" applyProtection="true">
      <alignment horizontal="general" vertical="top" textRotation="0" wrapText="false" indent="0" shrinkToFit="false"/>
      <protection locked="true" hidden="true"/>
    </xf>
    <xf numFmtId="164" fontId="0" fillId="2" borderId="0" xfId="21" applyFont="false" applyBorder="false" applyAlignment="true" applyProtection="true">
      <alignment horizontal="general" vertical="top" textRotation="0" wrapText="false" indent="0" shrinkToFit="false"/>
      <protection locked="true" hidden="true"/>
    </xf>
    <xf numFmtId="164" fontId="0" fillId="2" borderId="0" xfId="21" applyFont="true" applyBorder="true" applyAlignment="true" applyProtection="true">
      <alignment horizontal="left" vertical="center" textRotation="0" wrapText="true" indent="0" shrinkToFit="false"/>
      <protection locked="true" hidden="true"/>
    </xf>
    <xf numFmtId="164" fontId="0" fillId="2" borderId="0" xfId="21" applyFont="false" applyBorder="false" applyAlignment="true" applyProtection="true">
      <alignment horizontal="general" vertical="center" textRotation="0" wrapText="true" indent="0" shrinkToFit="false"/>
      <protection locked="true" hidden="true"/>
    </xf>
    <xf numFmtId="164" fontId="25" fillId="2" borderId="0" xfId="21" applyFont="true" applyBorder="false" applyAlignment="true" applyProtection="true">
      <alignment horizontal="general" vertical="center" textRotation="0" wrapText="false" indent="0" shrinkToFit="false"/>
      <protection locked="true" hidden="true"/>
    </xf>
    <xf numFmtId="164" fontId="76" fillId="2" borderId="0" xfId="20" applyFont="true" applyBorder="true" applyAlignment="true" applyProtection="true">
      <alignment horizontal="general" vertical="center" textRotation="0" wrapText="false" indent="0" shrinkToFit="false"/>
      <protection locked="true" hidden="true"/>
    </xf>
    <xf numFmtId="164" fontId="0" fillId="2" borderId="0" xfId="21" applyFont="false" applyBorder="false" applyAlignment="true" applyProtection="true">
      <alignment horizontal="general" vertical="center" textRotation="0" wrapText="false" indent="0" shrinkToFit="false"/>
      <protection locked="true" hidden="true"/>
    </xf>
    <xf numFmtId="164" fontId="0" fillId="0" borderId="0" xfId="21" applyFont="false" applyBorder="false" applyAlignment="false" applyProtection="false">
      <alignment horizontal="general" vertical="bottom" textRotation="0" wrapText="false" indent="0" shrinkToFit="false"/>
      <protection locked="true" hidden="false"/>
    </xf>
    <xf numFmtId="164" fontId="77" fillId="2" borderId="0" xfId="20" applyFont="true" applyBorder="true" applyAlignment="true" applyProtection="true">
      <alignment horizontal="general" vertical="bottom" textRotation="0" wrapText="false" indent="0" shrinkToFit="false"/>
      <protection locked="true" hidden="true"/>
    </xf>
    <xf numFmtId="164" fontId="72" fillId="2" borderId="0" xfId="21" applyFont="true" applyBorder="false" applyAlignment="false" applyProtection="false">
      <alignment horizontal="general" vertical="bottom" textRotation="0" wrapText="false" indent="0" shrinkToFit="false"/>
      <protection locked="true" hidden="false"/>
    </xf>
    <xf numFmtId="164" fontId="4" fillId="2" borderId="0" xfId="20" applyFont="true" applyBorder="true" applyAlignment="true" applyProtection="true">
      <alignment horizontal="left"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dxfs count="102">
    <dxf>
      <fill>
        <patternFill>
          <bgColor rgb="FFD9D9D9"/>
        </patternFill>
      </fill>
      <border diagonalUp="false" diagonalDown="false">
        <left style="thin"/>
        <right style="thin"/>
        <top style="thin"/>
        <bottom/>
        <diagonal/>
      </border>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diagonal/>
      </border>
    </dxf>
    <dxf>
      <font>
        <color rgb="FFFFFFFF"/>
      </font>
      <fill>
        <patternFill>
          <bgColor rgb="FFCECECE"/>
        </patternFill>
      </fill>
      <border diagonalUp="false" diagonalDown="false">
        <left style="thin"/>
        <right style="thin"/>
        <top/>
        <bottom style="thin"/>
        <diagonal/>
      </border>
    </dxf>
    <dxf>
      <font>
        <color rgb="FFFFFFFF"/>
      </font>
      <fill>
        <patternFill>
          <bgColor rgb="FF019535"/>
        </patternFill>
      </fill>
      <border diagonalUp="false" diagonalDown="false">
        <left style="thin"/>
        <right style="thin"/>
        <top style="thin"/>
        <bottom style="thin"/>
        <diagonal/>
      </border>
    </dxf>
    <dxf>
      <font>
        <color rgb="FFFFFFFF"/>
      </font>
      <border diagonalUp="false" diagonalDown="false">
        <left style="thin"/>
        <right style="thin"/>
        <top style="thin"/>
        <bottom style="thin"/>
        <diagonal/>
      </border>
    </dxf>
    <dxf>
      <font>
        <b val="0"/>
        <i val="0"/>
        <color rgb="FFFFFFFF"/>
      </font>
      <fill>
        <patternFill>
          <bgColor rgb="FF00A439"/>
        </patternFill>
      </fill>
    </dxf>
    <dxf>
      <font>
        <b val="0"/>
        <i val="0"/>
        <color rgb="FFFFFFFF"/>
      </font>
      <fill>
        <patternFill>
          <bgColor rgb="FF00A439"/>
        </patternFill>
      </fill>
    </dxf>
    <dxf>
      <font>
        <b val="0"/>
        <i val="0"/>
        <color rgb="FFFFFFFF"/>
      </font>
      <fill>
        <patternFill>
          <bgColor rgb="FF00A439"/>
        </patternFill>
      </fill>
    </dxf>
    <dxf>
      <font>
        <color rgb="FFFFFFFF"/>
      </font>
      <fill>
        <patternFill>
          <bgColor rgb="FFD9D9D9"/>
        </patternFill>
      </fill>
      <border diagonalUp="false" diagonalDown="false">
        <left style="thin"/>
        <right style="thin"/>
        <top style="thin"/>
        <bottom/>
        <diagonal/>
      </border>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diagonal/>
      </border>
    </dxf>
    <dxf>
      <font>
        <color rgb="FFFFFFFF"/>
      </font>
      <fill>
        <patternFill>
          <bgColor rgb="FFFFA800"/>
        </patternFill>
      </fill>
      <border diagonalUp="false" diagonalDown="false">
        <left style="thin"/>
        <right style="thin"/>
        <top style="thin"/>
        <bottom style="thin"/>
        <diagonal/>
      </border>
    </dxf>
    <dxf>
      <font>
        <color rgb="FFFFFFFF"/>
      </font>
      <border diagonalUp="false" diagonalDown="false">
        <left style="thin"/>
        <right style="thin"/>
        <top style="thin"/>
        <bottom style="thin"/>
        <diagonal/>
      </border>
    </dxf>
    <dxf>
      <font>
        <b val="0"/>
        <i val="0"/>
        <color rgb="FFFFFFFF"/>
      </font>
      <fill>
        <patternFill>
          <bgColor rgb="FFFEC236"/>
        </patternFill>
      </fill>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diagonal/>
      </border>
    </dxf>
    <dxf>
      <font>
        <color rgb="FFFFFFFF"/>
      </font>
      <fill>
        <patternFill>
          <bgColor rgb="FF0098A6"/>
        </patternFill>
      </fill>
      <border diagonalUp="false" diagonalDown="false">
        <left style="thin"/>
        <right style="thin"/>
        <top style="thin"/>
        <bottom style="thin"/>
        <diagonal/>
      </border>
    </dxf>
    <dxf>
      <font>
        <color rgb="FFFFFFFF"/>
      </font>
      <border diagonalUp="false" diagonalDown="false">
        <left style="thin"/>
        <right style="thin"/>
        <top style="thin"/>
        <bottom style="thin"/>
        <diagonal/>
      </border>
    </dxf>
    <dxf>
      <font>
        <b val="0"/>
        <i val="0"/>
        <color rgb="FFFFFFFF"/>
      </font>
      <fill>
        <patternFill>
          <bgColor rgb="FF00B3C9"/>
        </patternFill>
      </fill>
    </dxf>
    <dxf>
      <font>
        <b val="0"/>
        <i val="0"/>
        <color rgb="FFFFFFFF"/>
      </font>
      <fill>
        <patternFill>
          <bgColor rgb="FF00B3C9"/>
        </patternFill>
      </fill>
    </dxf>
    <dxf>
      <font>
        <b val="0"/>
        <i val="0"/>
        <color rgb="FFFFFFFF"/>
      </font>
      <fill>
        <patternFill>
          <bgColor rgb="FF00B3C9"/>
        </patternFill>
      </fill>
    </dxf>
    <dxf>
      <font>
        <color rgb="FFFFFFFF"/>
      </font>
      <fill>
        <patternFill>
          <bgColor rgb="FFD9D9D9"/>
        </patternFill>
      </fill>
      <border diagonalUp="false" diagonalDown="false">
        <left style="thin"/>
        <right style="thin"/>
        <top/>
        <bottom/>
        <diagonal/>
      </border>
    </dxf>
    <dxf>
      <fill>
        <patternFill>
          <bgColor rgb="FFD9D9D9"/>
        </patternFill>
      </fill>
      <border diagonalUp="false" diagonalDown="false">
        <left style="thin"/>
        <right style="thin"/>
        <top/>
        <bottom/>
        <diagonal/>
      </border>
    </dxf>
    <dxf>
      <fill>
        <patternFill>
          <bgColor rgb="FFC4D79B"/>
        </patternFill>
      </fill>
    </dxf>
    <dxf>
      <font>
        <color rgb="FFFFFFFF"/>
      </font>
      <fill>
        <patternFill>
          <bgColor rgb="FFCECECE"/>
        </patternFill>
      </fill>
      <border diagonalUp="false" diagonalDown="false">
        <left style="thin"/>
        <right style="thin"/>
        <top style="thin"/>
        <bottom/>
        <diagonal/>
      </border>
    </dxf>
    <dxf>
      <font>
        <color rgb="FFFFFFFF"/>
      </font>
      <fill>
        <patternFill>
          <bgColor rgb="FFCECECE"/>
        </patternFill>
      </fill>
      <border diagonalUp="false" diagonalDown="false">
        <left style="thin"/>
        <right style="thin"/>
        <top style="thin"/>
        <bottom/>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65911"/>
        </patternFill>
      </fill>
      <border diagonalUp="false" diagonalDown="false">
        <left style="thin"/>
        <right style="thin"/>
        <top style="thin"/>
        <bottom style="thin"/>
        <diagonal/>
      </border>
    </dxf>
    <dxf>
      <font>
        <color rgb="FFFFFFFF"/>
      </font>
      <border diagonalUp="false" diagonalDown="false">
        <left style="thin"/>
        <right style="thin"/>
        <top style="thin"/>
        <bottom style="thin"/>
        <diagonal/>
      </border>
    </dxf>
    <dxf>
      <font>
        <b val="0"/>
        <i val="0"/>
        <color rgb="FFFFFFFF"/>
      </font>
      <fill>
        <patternFill>
          <bgColor rgb="FFF4B084"/>
        </patternFill>
      </fill>
    </dxf>
    <dxf>
      <font>
        <b val="0"/>
        <i val="0"/>
        <color rgb="FFFFFFFF"/>
      </font>
      <fill>
        <patternFill>
          <bgColor rgb="FFF4B084"/>
        </patternFill>
      </fill>
    </dxf>
    <dxf>
      <font>
        <b val="0"/>
        <i val="0"/>
        <color rgb="FFFFFFFF"/>
      </font>
      <fill>
        <patternFill>
          <bgColor rgb="FFF4B084"/>
        </patternFill>
      </fill>
    </dxf>
    <dxf>
      <font>
        <color rgb="FFFFFFFF"/>
      </font>
      <fill>
        <patternFill>
          <bgColor rgb="FF963633"/>
        </patternFill>
      </fill>
      <border diagonalUp="false" diagonalDown="false">
        <left style="thin"/>
        <right style="thin"/>
        <top style="thin"/>
        <bottom style="thin"/>
        <diagonal/>
      </border>
    </dxf>
    <dxf>
      <font>
        <color rgb="FFFFFFFF"/>
      </font>
      <border diagonalUp="false" diagonalDown="false">
        <left style="thin"/>
        <right style="thin"/>
        <top style="thin"/>
        <bottom style="thin"/>
        <diagonal/>
      </border>
    </dxf>
    <dxf>
      <font>
        <b val="0"/>
        <i val="0"/>
        <color rgb="FFFFFFFF"/>
      </font>
      <fill>
        <patternFill>
          <bgColor rgb="FFAB402E"/>
        </patternFill>
      </fill>
    </dxf>
    <dxf>
      <font>
        <b val="0"/>
        <i val="0"/>
        <color rgb="FFFFFFFF"/>
      </font>
      <fill>
        <patternFill>
          <bgColor rgb="FFAB402E"/>
        </patternFill>
      </fill>
    </dxf>
    <dxf>
      <font>
        <b val="0"/>
        <i val="0"/>
        <color rgb="FFFFFFFF"/>
      </font>
      <fill>
        <patternFill>
          <bgColor rgb="FFAB402E"/>
        </patternFill>
      </fill>
    </dxf>
    <dxf>
      <font>
        <color rgb="FFFFFFFF"/>
      </font>
      <fill>
        <patternFill>
          <bgColor rgb="FF7B7B7B"/>
        </patternFill>
      </fill>
      <border diagonalUp="false" diagonalDown="false">
        <left style="thin"/>
        <right style="thin"/>
        <top style="thin"/>
        <bottom style="thin"/>
        <diagonal/>
      </border>
    </dxf>
    <dxf>
      <font>
        <color rgb="FFFFFFFF"/>
      </font>
      <border diagonalUp="false" diagonalDown="false">
        <left style="thin"/>
        <right style="thin"/>
        <top style="thin"/>
        <bottom style="thin"/>
        <diagonal/>
      </border>
    </dxf>
    <dxf>
      <font>
        <b val="0"/>
        <i val="0"/>
        <color rgb="FFFFFFFF"/>
      </font>
      <fill>
        <patternFill>
          <bgColor rgb="FFC9C9C9"/>
        </patternFill>
      </fill>
    </dxf>
    <dxf>
      <font>
        <b val="0"/>
        <i val="0"/>
        <color rgb="FFFFFFFF"/>
      </font>
      <fill>
        <patternFill>
          <bgColor rgb="FFC9C9C9"/>
        </patternFill>
      </fill>
    </dxf>
    <dxf>
      <font>
        <b val="0"/>
        <i val="0"/>
        <color rgb="FFFFFFFF"/>
      </font>
      <fill>
        <patternFill>
          <bgColor rgb="FFC9C9C9"/>
        </patternFill>
      </fill>
    </dxf>
    <dxf>
      <font>
        <color rgb="FFFFFFFF"/>
      </font>
      <fill>
        <patternFill>
          <bgColor rgb="FFCECECE"/>
        </patternFill>
      </fill>
      <border diagonalUp="false" diagonalDown="false">
        <left style="thin"/>
        <right style="thin"/>
        <top/>
        <bottom style="thin"/>
        <diagonal/>
      </border>
    </dxf>
    <dxf>
      <font>
        <color rgb="FFFFFFFF"/>
      </font>
      <fill>
        <patternFill>
          <bgColor rgb="FFCECECE"/>
        </patternFill>
      </fill>
      <border diagonalUp="false" diagonalDown="false">
        <left style="thin"/>
        <right style="thin"/>
        <top style="thin"/>
        <bottom/>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bottom style="thin"/>
        <diagonal/>
      </border>
    </dxf>
    <dxf>
      <font>
        <color rgb="FFFFFFFF"/>
      </font>
      <fill>
        <patternFill>
          <bgColor rgb="FFCECECE"/>
        </patternFill>
      </fill>
      <border diagonalUp="false" diagonalDown="false">
        <left style="thin"/>
        <right style="thin"/>
        <top style="thin"/>
        <bottom/>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bottom style="thin"/>
        <diagonal/>
      </border>
    </dxf>
    <dxf>
      <font>
        <color rgb="FFFFFFFF"/>
      </font>
      <fill>
        <patternFill>
          <bgColor rgb="FFCECECE"/>
        </patternFill>
      </fill>
      <border diagonalUp="false" diagonalDown="false">
        <left style="thin"/>
        <right style="thin"/>
        <top style="thin"/>
        <bottom/>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bottom style="thin"/>
        <diagonal/>
      </border>
    </dxf>
    <dxf>
      <font>
        <color rgb="FFFFFFFF"/>
      </font>
      <fill>
        <patternFill>
          <bgColor rgb="FFCECECE"/>
        </patternFill>
      </fill>
      <border diagonalUp="false" diagonalDown="false">
        <left style="thin"/>
        <right style="thin"/>
        <top style="thin"/>
        <bottom/>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style="thin"/>
        <bottom style="thin"/>
        <diagonal/>
      </border>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diagonal/>
      </border>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diagonal/>
      </border>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diagonal/>
      </border>
    </dxf>
    <dxf>
      <font>
        <color rgb="FF9C0006"/>
      </font>
      <fill>
        <patternFill>
          <bgColor rgb="FFFFC7CE"/>
        </patternFill>
      </fill>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diagonal/>
      </border>
    </dxf>
    <dxf>
      <font>
        <color rgb="FFFFFFFF"/>
      </font>
      <fill>
        <patternFill>
          <bgColor rgb="FF1F4E78"/>
        </patternFill>
      </fill>
      <border diagonalUp="false" diagonalDown="false">
        <left style="thin"/>
        <right style="thin"/>
        <top style="thin"/>
        <bottom style="thin"/>
        <diagonal/>
      </border>
    </dxf>
    <dxf>
      <font>
        <color rgb="FFFFFFFF"/>
      </font>
      <border diagonalUp="false" diagonalDown="false">
        <left style="thin"/>
        <right style="thin"/>
        <top style="thin"/>
        <bottom style="thin"/>
        <diagonal/>
      </border>
    </dxf>
    <dxf>
      <font>
        <b val="0"/>
        <i val="0"/>
        <color rgb="FFFFFFFF"/>
      </font>
      <fill>
        <patternFill>
          <bgColor rgb="FF2F75B5"/>
        </patternFill>
      </fill>
    </dxf>
    <dxf>
      <font>
        <b val="0"/>
        <i val="0"/>
        <color rgb="FFFFFFFF"/>
      </font>
      <fill>
        <patternFill>
          <bgColor rgb="FF2F75B5"/>
        </patternFill>
      </fill>
    </dxf>
    <dxf>
      <font>
        <b val="0"/>
        <i val="0"/>
        <color rgb="FFFFFFFF"/>
      </font>
      <fill>
        <patternFill>
          <bgColor rgb="FF2F75B5"/>
        </patternFill>
      </fill>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diagonal/>
      </border>
    </dxf>
    <dxf>
      <font>
        <color rgb="FFFFFFFF"/>
      </font>
      <fill>
        <patternFill>
          <bgColor rgb="FF4F81BD"/>
        </patternFill>
      </fill>
      <border diagonalUp="false" diagonalDown="false">
        <left style="thin"/>
        <right style="thin"/>
        <top style="thin"/>
        <bottom style="thin"/>
        <diagonal/>
      </border>
    </dxf>
    <dxf>
      <font>
        <color rgb="FFFFFFFF"/>
      </font>
      <border diagonalUp="false" diagonalDown="false">
        <left style="thin"/>
        <right style="thin"/>
        <top style="thin"/>
        <bottom style="thin"/>
        <diagonal/>
      </border>
    </dxf>
    <dxf>
      <font>
        <b val="0"/>
        <i val="0"/>
        <color rgb="FFFFFFFF"/>
      </font>
      <fill>
        <patternFill>
          <bgColor rgb="FF95B3D7"/>
        </patternFill>
      </fill>
    </dxf>
    <dxf>
      <font>
        <b val="0"/>
        <i val="0"/>
        <color rgb="FFFFFFFF"/>
      </font>
      <fill>
        <patternFill>
          <bgColor rgb="FF95B3D7"/>
        </patternFill>
      </fill>
    </dxf>
    <dxf>
      <font>
        <b val="0"/>
        <i val="0"/>
        <color rgb="FFFFFFFF"/>
      </font>
      <fill>
        <patternFill>
          <bgColor rgb="FF95B3D7"/>
        </patternFill>
      </fill>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diagonal/>
      </border>
    </dxf>
    <dxf>
      <font>
        <color rgb="FFFFFFFF"/>
      </font>
      <fill>
        <patternFill>
          <bgColor rgb="FFD9D9D9"/>
        </patternFill>
      </fill>
      <border diagonalUp="false" diagonalDown="false">
        <left style="thin"/>
        <right style="thin"/>
        <top/>
        <bottom/>
        <diagonal/>
      </border>
    </dxf>
    <dxf>
      <fill>
        <patternFill>
          <bgColor rgb="FFD9D9D9"/>
        </patternFill>
      </fill>
      <border diagonalUp="false" diagonalDown="false">
        <left style="thin"/>
        <right style="thin"/>
        <top/>
        <bottom/>
        <diagonal/>
      </border>
    </dxf>
    <dxf>
      <font>
        <b val="0"/>
        <i val="0"/>
        <color rgb="FFFFFFFF"/>
      </font>
      <fill>
        <patternFill>
          <bgColor rgb="FFFEC236"/>
        </patternFill>
      </fill>
    </dxf>
    <dxf>
      <font>
        <b val="0"/>
        <i val="0"/>
        <color rgb="FFFFFFFF"/>
      </font>
      <fill>
        <patternFill>
          <bgColor rgb="FFFEC236"/>
        </patternFill>
      </fill>
    </dxf>
  </dxfs>
  <colors>
    <indexedColors>
      <rgbColor rgb="FF000000"/>
      <rgbColor rgb="FFFFFFFF"/>
      <rgbColor rgb="FFFF0000"/>
      <rgbColor rgb="FF00A439"/>
      <rgbColor rgb="FF0000FF"/>
      <rgbColor rgb="FFFFBE00"/>
      <rgbColor rgb="FFFFBE56"/>
      <rgbColor rgb="FFC4D79B"/>
      <rgbColor rgb="FF9C0006"/>
      <rgbColor rgb="FF019535"/>
      <rgbColor rgb="FF000080"/>
      <rgbColor rgb="FFB37836"/>
      <rgbColor rgb="FFBF162B"/>
      <rgbColor rgb="FF0098A6"/>
      <rgbColor rgb="FFC9C9C9"/>
      <rgbColor rgb="FF7B7B7B"/>
      <rgbColor rgb="FF95B3D7"/>
      <rgbColor rgb="FF913D92"/>
      <rgbColor rgb="FFEBF1DE"/>
      <rgbColor rgb="FFDBEEF4"/>
      <rgbColor rgb="FF660066"/>
      <rgbColor rgb="FFD99694"/>
      <rgbColor rgb="FF0056A4"/>
      <rgbColor rgb="FFCECECE"/>
      <rgbColor rgb="FF000080"/>
      <rgbColor rgb="FFFF00FF"/>
      <rgbColor rgb="FFFEC236"/>
      <rgbColor rgb="FFEEBB4C"/>
      <rgbColor rgb="FFAB402E"/>
      <rgbColor rgb="FFA50004"/>
      <rgbColor rgb="FF0056A3"/>
      <rgbColor rgb="FF0000FF"/>
      <rgbColor rgb="FF00B3C9"/>
      <rgbColor rgb="FFF2F2F2"/>
      <rgbColor rgb="FFD9D9D9"/>
      <rgbColor rgb="FFFDEADA"/>
      <rgbColor rgb="FF8EB4E3"/>
      <rgbColor rgb="FFF4B084"/>
      <rgbColor rgb="FFC3D69B"/>
      <rgbColor rgb="FFFFC7CE"/>
      <rgbColor rgb="FF2F75B5"/>
      <rgbColor rgb="FF4F81BD"/>
      <rgbColor rgb="FF92D050"/>
      <rgbColor rgb="FFFEC200"/>
      <rgbColor rgb="FFF6A302"/>
      <rgbColor rgb="FFC65911"/>
      <rgbColor rgb="FF4F80BC"/>
      <rgbColor rgb="FFC4BD97"/>
      <rgbColor rgb="FF1F4E78"/>
      <rgbColor rgb="FF01A439"/>
      <rgbColor rgb="FF003300"/>
      <rgbColor rgb="FFFFA800"/>
      <rgbColor rgb="FF963633"/>
      <rgbColor rgb="FF7E3680"/>
      <rgbColor rgb="FF1F497D"/>
      <rgbColor rgb="FFE298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www.linkedin.com/in/matejero" TargetMode="External"/><Relationship Id="rId2" Type="http://schemas.openxmlformats.org/officeDocument/2006/relationships/hyperlink" Target="#MUNDIAL!K4"/><Relationship Id="rId3" Type="http://schemas.openxmlformats.org/officeDocument/2006/relationships/hyperlink" Target="https://matejero.com/world-cup-excel-sweepstake/" TargetMode="External"/><Relationship Id="rId4" Type="http://schemas.openxmlformats.org/officeDocument/2006/relationships/hyperlink" Target="https://www.paypal.com/donate?business=PJ2B6ZBH7ZHR4&amp;currency_code=EUR" TargetMode="External"/><Relationship Id="rId5" Type="http://schemas.openxmlformats.org/officeDocument/2006/relationships/image" Target="../media/image89.gif"/><Relationship Id="rId6" Type="http://schemas.openxmlformats.org/officeDocument/2006/relationships/image" Target="../media/image90.png"/><Relationship Id="rId7" Type="http://schemas.openxmlformats.org/officeDocument/2006/relationships/hyperlink" Target="https://youtu.be/lDZuQq2z-lA" TargetMode="External"/><Relationship Id="rId8" Type="http://schemas.openxmlformats.org/officeDocument/2006/relationships/image" Target="../media/image91.png"/><Relationship Id="rId9" Type="http://schemas.openxmlformats.org/officeDocument/2006/relationships/hyperlink" Target="https://youtu.be/lDZuQq2z-lA" TargetMode="External"/><Relationship Id="rId10" Type="http://schemas.openxmlformats.org/officeDocument/2006/relationships/hyperlink" Target="https://matejero.es/" TargetMode="External"/><Relationship Id="rId11" Type="http://schemas.openxmlformats.org/officeDocument/2006/relationships/hyperlink" Target="https://matejero.es/download/administrador-excel-mundial-2022/" TargetMode="External"/><Relationship Id="rId12" Type="http://schemas.openxmlformats.org/officeDocument/2006/relationships/hyperlink" Target="https://pinterest.com/pin/create/button/?url=https%3A//matejero.es/excel-porra-mundial/&amp;media=https%3A//matejero.es/wp-content/uploads/2022/04/excel-mundial-2022.jpg&amp;description=Mira%20esta%20plantilla%20en%20Excel%20del%20Mundial%202022" TargetMode="External"/><Relationship Id="rId13" Type="http://schemas.openxmlformats.org/officeDocument/2006/relationships/image" Target="../media/image92.png"/><Relationship Id="rId14" Type="http://schemas.openxmlformats.org/officeDocument/2006/relationships/hyperlink" Target="https://twitter.com/intent/tweet?text=Mira%20esta%20plantilla%20en%20Excel%20del%20Mundial%202022%20que%20estoy%20usando%20con%20mis%20amigos%0A%0Ahttps%3A//matejero.es/excel-porra-mundial/" TargetMode="External"/><Relationship Id="rId15" Type="http://schemas.openxmlformats.org/officeDocument/2006/relationships/image" Target="../media/image93.png"/>
</Relationships>
</file>

<file path=xl/drawings/_rels/drawing2.xml.rels><?xml version="1.0" encoding="UTF-8"?>
<Relationships xmlns="http://schemas.openxmlformats.org/package/2006/relationships"><Relationship Id="rId1" Type="http://schemas.openxmlformats.org/officeDocument/2006/relationships/hyperlink" Target="https://www.linkedin.com/in/matejero" TargetMode="External"/><Relationship Id="rId2" Type="http://schemas.openxmlformats.org/officeDocument/2006/relationships/hyperlink" Target="https://www.paypal.com/donate?business=PJ2B6ZBH7ZHR4&amp;currency_code=EUR" TargetMode="External"/><Relationship Id="rId3" Type="http://schemas.openxmlformats.org/officeDocument/2006/relationships/image" Target="../media/image94.gif"/><Relationship Id="rId4" Type="http://schemas.openxmlformats.org/officeDocument/2006/relationships/hyperlink" Target="https://youtu.be/lDZuQq2z-lA" TargetMode="External"/><Relationship Id="rId5" Type="http://schemas.openxmlformats.org/officeDocument/2006/relationships/image" Target="../media/image95.png"/><Relationship Id="rId6" Type="http://schemas.openxmlformats.org/officeDocument/2006/relationships/hyperlink" Target="https://youtu.be/lDZuQq2z-lA" TargetMode="External"/><Relationship Id="rId7" Type="http://schemas.openxmlformats.org/officeDocument/2006/relationships/hyperlink" Target="https://www.paypal.com/donate?business=PJ2B6ZBH7ZHR4&amp;currency_code=EUR" TargetMode="External"/><Relationship Id="rId8" Type="http://schemas.openxmlformats.org/officeDocument/2006/relationships/image" Target="../media/image96.gi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9</xdr:col>
      <xdr:colOff>139680</xdr:colOff>
      <xdr:row>1</xdr:row>
      <xdr:rowOff>139680</xdr:rowOff>
    </xdr:from>
    <xdr:to>
      <xdr:col>15</xdr:col>
      <xdr:colOff>63000</xdr:colOff>
      <xdr:row>15</xdr:row>
      <xdr:rowOff>88560</xdr:rowOff>
    </xdr:to>
    <xdr:sp>
      <xdr:nvSpPr>
        <xdr:cNvPr id="0" name="CustomShape 1"/>
        <xdr:cNvSpPr/>
      </xdr:nvSpPr>
      <xdr:spPr>
        <a:xfrm>
          <a:off x="7081200" y="330120"/>
          <a:ext cx="4145040" cy="2777760"/>
        </a:xfrm>
        <a:prstGeom prst="frame">
          <a:avLst>
            <a:gd name="adj1" fmla="val 7955"/>
          </a:avLst>
        </a:prstGeom>
        <a:ln>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428760</xdr:colOff>
      <xdr:row>6</xdr:row>
      <xdr:rowOff>174600</xdr:rowOff>
    </xdr:from>
    <xdr:to>
      <xdr:col>8</xdr:col>
      <xdr:colOff>152280</xdr:colOff>
      <xdr:row>8</xdr:row>
      <xdr:rowOff>110880</xdr:rowOff>
    </xdr:to>
    <xdr:sp>
      <xdr:nvSpPr>
        <xdr:cNvPr id="1" name="CustomShape 1">
          <a:hlinkClick r:id="rId1"/>
        </xdr:cNvPr>
        <xdr:cNvSpPr/>
      </xdr:nvSpPr>
      <xdr:spPr>
        <a:xfrm>
          <a:off x="4347720" y="1412640"/>
          <a:ext cx="1990440" cy="365040"/>
        </a:xfrm>
        <a:prstGeom prst="roundRect">
          <a:avLst>
            <a:gd name="adj" fmla="val 16667"/>
          </a:avLst>
        </a:prstGeom>
        <a:noFill/>
        <a:ln>
          <a:solidFill>
            <a:schemeClr val="accent1"/>
          </a:solidFill>
          <a:round/>
        </a:ln>
      </xdr:spPr>
      <xdr:style>
        <a:lnRef idx="2">
          <a:schemeClr val="accent1">
            <a:shade val="50000"/>
          </a:schemeClr>
        </a:lnRef>
        <a:fillRef idx="1">
          <a:schemeClr val="accent1"/>
        </a:fillRef>
        <a:effectRef idx="0">
          <a:schemeClr val="accent1"/>
        </a:effectRef>
        <a:fontRef idx="minor"/>
      </xdr:style>
      <xdr:txBody>
        <a:bodyPr lIns="90000" rIns="90000" tIns="45000" bIns="45000">
          <a:noAutofit/>
        </a:bodyPr>
        <a:p>
          <a:pPr algn="ctr">
            <a:lnSpc>
              <a:spcPct val="100000"/>
            </a:lnSpc>
          </a:pPr>
          <a:r>
            <a:rPr b="1" lang="es-GT" sz="1100" spc="-1" strike="noStrike">
              <a:solidFill>
                <a:srgbClr val="ff0000"/>
              </a:solidFill>
              <a:latin typeface="Calibri"/>
            </a:rPr>
            <a:t>© </a:t>
          </a:r>
          <a:r>
            <a:rPr b="0" lang="es-GT" sz="1100" spc="-1" strike="noStrike">
              <a:solidFill>
                <a:srgbClr val="ff0000"/>
              </a:solidFill>
              <a:latin typeface="Calibri"/>
            </a:rPr>
            <a:t>Miguel Angel Tejero. 2022</a:t>
          </a:r>
          <a:endParaRPr b="0" lang="es-GT" sz="1100" spc="-1" strike="noStrike">
            <a:latin typeface="Times New Roman"/>
          </a:endParaRPr>
        </a:p>
        <a:p>
          <a:pPr algn="ctr">
            <a:lnSpc>
              <a:spcPct val="100000"/>
            </a:lnSpc>
          </a:pPr>
          <a:endParaRPr b="0" lang="es-GT" sz="1100" spc="-1" strike="noStrike">
            <a:latin typeface="Times New Roman"/>
          </a:endParaRPr>
        </a:p>
        <a:p>
          <a:pPr algn="ctr">
            <a:lnSpc>
              <a:spcPct val="100000"/>
            </a:lnSpc>
          </a:pPr>
          <a:r>
            <a:rPr b="1" lang="es-GT" sz="1100" spc="-1" strike="noStrike">
              <a:solidFill>
                <a:srgbClr val="ff0000"/>
              </a:solidFill>
              <a:latin typeface="Calibri"/>
            </a:rPr>
            <a:t> </a:t>
          </a:r>
          <a:endParaRPr b="0" lang="es-GT" sz="1100" spc="-1" strike="noStrike">
            <a:latin typeface="Times New Roman"/>
          </a:endParaRPr>
        </a:p>
      </xdr:txBody>
    </xdr:sp>
    <xdr:clientData/>
  </xdr:twoCellAnchor>
  <xdr:twoCellAnchor editAs="twoCell">
    <xdr:from>
      <xdr:col>5</xdr:col>
      <xdr:colOff>409680</xdr:colOff>
      <xdr:row>4</xdr:row>
      <xdr:rowOff>41400</xdr:rowOff>
    </xdr:from>
    <xdr:to>
      <xdr:col>8</xdr:col>
      <xdr:colOff>180720</xdr:colOff>
      <xdr:row>5</xdr:row>
      <xdr:rowOff>168120</xdr:rowOff>
    </xdr:to>
    <xdr:sp>
      <xdr:nvSpPr>
        <xdr:cNvPr id="2" name="CustomShape 1">
          <a:hlinkClick r:id="rId2"/>
        </xdr:cNvPr>
        <xdr:cNvSpPr/>
      </xdr:nvSpPr>
      <xdr:spPr>
        <a:xfrm>
          <a:off x="4328640" y="803160"/>
          <a:ext cx="2037960" cy="365040"/>
        </a:xfrm>
        <a:prstGeom prst="roundRect">
          <a:avLst>
            <a:gd name="adj" fmla="val 16667"/>
          </a:avLst>
        </a:prstGeom>
        <a:solidFill>
          <a:srgbClr val="288894"/>
        </a:solidFill>
        <a:ln>
          <a:noFill/>
        </a:ln>
        <a:effectLst>
          <a:outerShdw algn="tl" blurRad="50800" dir="2700000" dist="37674" rotWithShape="0">
            <a:srgbClr val="000000">
              <a:alpha val="40000"/>
            </a:srgbClr>
          </a:outerShdw>
        </a:effectLst>
      </xdr:spPr>
      <xdr:style>
        <a:lnRef idx="2">
          <a:schemeClr val="accent1">
            <a:shade val="50000"/>
          </a:schemeClr>
        </a:lnRef>
        <a:fillRef idx="1">
          <a:schemeClr val="accent1"/>
        </a:fillRef>
        <a:effectRef idx="0">
          <a:schemeClr val="accent1"/>
        </a:effectRef>
        <a:fontRef idx="minor"/>
      </xdr:style>
      <xdr:txBody>
        <a:bodyPr lIns="90000" rIns="90000" tIns="45000" bIns="45000">
          <a:noAutofit/>
        </a:bodyPr>
        <a:p>
          <a:pPr algn="ctr">
            <a:lnSpc>
              <a:spcPct val="100000"/>
            </a:lnSpc>
          </a:pPr>
          <a:r>
            <a:rPr b="1" lang="es-GT" sz="1600" spc="-1" strike="noStrike">
              <a:solidFill>
                <a:srgbClr val="ffffff"/>
              </a:solidFill>
              <a:latin typeface="Calibri"/>
            </a:rPr>
            <a:t>Introducir Resultados</a:t>
          </a:r>
          <a:endParaRPr b="0" lang="es-GT" sz="1600" spc="-1" strike="noStrike">
            <a:latin typeface="Times New Roman"/>
          </a:endParaRPr>
        </a:p>
        <a:p>
          <a:pPr algn="ctr">
            <a:lnSpc>
              <a:spcPct val="100000"/>
            </a:lnSpc>
          </a:pPr>
          <a:endParaRPr b="0" lang="es-GT" sz="1600" spc="-1" strike="noStrike">
            <a:latin typeface="Times New Roman"/>
          </a:endParaRPr>
        </a:p>
        <a:p>
          <a:pPr algn="ctr">
            <a:lnSpc>
              <a:spcPct val="100000"/>
            </a:lnSpc>
          </a:pPr>
          <a:r>
            <a:rPr b="1" lang="es-GT" sz="1400" spc="-1" strike="noStrike">
              <a:solidFill>
                <a:srgbClr val="ffffff"/>
              </a:solidFill>
              <a:latin typeface="Calibri"/>
            </a:rPr>
            <a:t> </a:t>
          </a:r>
          <a:endParaRPr b="0" lang="es-GT" sz="1400" spc="-1" strike="noStrike">
            <a:latin typeface="Times New Roman"/>
          </a:endParaRPr>
        </a:p>
      </xdr:txBody>
    </xdr:sp>
    <xdr:clientData/>
  </xdr:twoCellAnchor>
  <xdr:twoCellAnchor editAs="twoCell">
    <xdr:from>
      <xdr:col>1</xdr:col>
      <xdr:colOff>736560</xdr:colOff>
      <xdr:row>9</xdr:row>
      <xdr:rowOff>181080</xdr:rowOff>
    </xdr:from>
    <xdr:to>
      <xdr:col>4</xdr:col>
      <xdr:colOff>31320</xdr:colOff>
      <xdr:row>14</xdr:row>
      <xdr:rowOff>75960</xdr:rowOff>
    </xdr:to>
    <xdr:sp>
      <xdr:nvSpPr>
        <xdr:cNvPr id="3" name="CustomShape 1"/>
        <xdr:cNvSpPr/>
      </xdr:nvSpPr>
      <xdr:spPr>
        <a:xfrm>
          <a:off x="1492200" y="2038320"/>
          <a:ext cx="1561680" cy="847440"/>
        </a:xfrm>
        <a:prstGeom prst="roundRect">
          <a:avLst>
            <a:gd name="adj" fmla="val 16667"/>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oAutofit/>
        </a:bodyPr>
        <a:p>
          <a:pPr algn="ctr">
            <a:lnSpc>
              <a:spcPct val="100000"/>
            </a:lnSpc>
          </a:pPr>
          <a:r>
            <a:rPr b="1" lang="es-GT" sz="1800" spc="-1" strike="noStrike">
              <a:solidFill>
                <a:srgbClr val="000000"/>
              </a:solidFill>
              <a:latin typeface="Calibri"/>
            </a:rPr>
            <a:t>XXII Mundial 2022</a:t>
          </a:r>
          <a:endParaRPr b="0" lang="es-GT" sz="1800" spc="-1" strike="noStrike">
            <a:latin typeface="Times New Roman"/>
          </a:endParaRPr>
        </a:p>
        <a:p>
          <a:pPr algn="ctr">
            <a:lnSpc>
              <a:spcPct val="100000"/>
            </a:lnSpc>
          </a:pPr>
          <a:r>
            <a:rPr b="1" lang="es-GT" sz="1600" spc="-1" strike="noStrike">
              <a:solidFill>
                <a:srgbClr val="ffffff"/>
              </a:solidFill>
              <a:latin typeface="Calibri"/>
            </a:rPr>
            <a:t> </a:t>
          </a:r>
          <a:endParaRPr b="0" lang="es-GT" sz="1600" spc="-1" strike="noStrike">
            <a:latin typeface="Times New Roman"/>
          </a:endParaRPr>
        </a:p>
      </xdr:txBody>
    </xdr:sp>
    <xdr:clientData/>
  </xdr:twoCellAnchor>
  <xdr:twoCellAnchor editAs="twoCell">
    <xdr:from>
      <xdr:col>5</xdr:col>
      <xdr:colOff>358920</xdr:colOff>
      <xdr:row>11</xdr:row>
      <xdr:rowOff>181080</xdr:rowOff>
    </xdr:from>
    <xdr:to>
      <xdr:col>8</xdr:col>
      <xdr:colOff>129960</xdr:colOff>
      <xdr:row>14</xdr:row>
      <xdr:rowOff>203040</xdr:rowOff>
    </xdr:to>
    <xdr:sp>
      <xdr:nvSpPr>
        <xdr:cNvPr id="4" name="CustomShape 1">
          <a:hlinkClick r:id="rId3"/>
        </xdr:cNvPr>
        <xdr:cNvSpPr/>
      </xdr:nvSpPr>
      <xdr:spPr>
        <a:xfrm>
          <a:off x="4277880" y="2419200"/>
          <a:ext cx="2037960" cy="593640"/>
        </a:xfrm>
        <a:prstGeom prst="roundRect">
          <a:avLst>
            <a:gd name="adj" fmla="val 16667"/>
          </a:avLst>
        </a:prstGeom>
        <a:gradFill rotWithShape="0">
          <a:gsLst>
            <a:gs pos="0">
              <a:srgbClr val="cc6d20"/>
            </a:gs>
            <a:gs pos="100000">
              <a:srgbClr val="ff9033">
                <a:alpha val="0"/>
              </a:srgbClr>
            </a:gs>
          </a:gsLst>
          <a:lin ang="16200000"/>
        </a:gradFill>
        <a:ln>
          <a:noFill/>
        </a:ln>
        <a:effectLst>
          <a:outerShdw algn="tl" blurRad="50800" dir="2700000" dist="37674" rotWithShape="0">
            <a:srgbClr val="000000">
              <a:alpha val="40000"/>
            </a:srgbClr>
          </a:outerShdw>
        </a:effectLst>
      </xdr:spPr>
      <xdr:style>
        <a:lnRef idx="0">
          <a:schemeClr val="accent6"/>
        </a:lnRef>
        <a:fillRef idx="3">
          <a:schemeClr val="accent6"/>
        </a:fillRef>
        <a:effectRef idx="3">
          <a:schemeClr val="accent6"/>
        </a:effectRef>
        <a:fontRef idx="minor"/>
      </xdr:style>
      <xdr:txBody>
        <a:bodyPr lIns="90000" rIns="90000" tIns="45000" bIns="45000" anchor="ctr">
          <a:noAutofit/>
        </a:bodyPr>
        <a:p>
          <a:pPr algn="ctr">
            <a:lnSpc>
              <a:spcPct val="100000"/>
            </a:lnSpc>
          </a:pPr>
          <a:r>
            <a:rPr b="1" lang="es-GT" sz="2400" spc="-1" strike="noStrike">
              <a:solidFill>
                <a:srgbClr val="ffffff"/>
              </a:solidFill>
              <a:latin typeface="Calibri"/>
            </a:rPr>
            <a:t>English version</a:t>
          </a:r>
          <a:r>
            <a:rPr b="1" lang="es-GT" sz="2000" spc="-1" strike="noStrike">
              <a:solidFill>
                <a:srgbClr val="ffffff"/>
              </a:solidFill>
              <a:latin typeface="Calibri"/>
            </a:rPr>
            <a:t> </a:t>
          </a:r>
          <a:endParaRPr b="0" lang="es-GT" sz="2000" spc="-1" strike="noStrike">
            <a:latin typeface="Times New Roman"/>
          </a:endParaRPr>
        </a:p>
      </xdr:txBody>
    </xdr:sp>
    <xdr:clientData/>
  </xdr:twoCellAnchor>
  <xdr:twoCellAnchor editAs="oneCell">
    <xdr:from>
      <xdr:col>8</xdr:col>
      <xdr:colOff>571680</xdr:colOff>
      <xdr:row>20</xdr:row>
      <xdr:rowOff>63360</xdr:rowOff>
    </xdr:from>
    <xdr:to>
      <xdr:col>10</xdr:col>
      <xdr:colOff>285480</xdr:colOff>
      <xdr:row>21</xdr:row>
      <xdr:rowOff>123480</xdr:rowOff>
    </xdr:to>
    <xdr:pic>
      <xdr:nvPicPr>
        <xdr:cNvPr id="5" name="Imagen 7" descr="">
          <a:hlinkClick r:id="rId4"/>
        </xdr:cNvPr>
        <xdr:cNvPicPr/>
      </xdr:nvPicPr>
      <xdr:blipFill>
        <a:blip r:embed="rId5"/>
        <a:stretch/>
      </xdr:blipFill>
      <xdr:spPr>
        <a:xfrm>
          <a:off x="6757560" y="4035240"/>
          <a:ext cx="912960" cy="250560"/>
        </a:xfrm>
        <a:prstGeom prst="rect">
          <a:avLst/>
        </a:prstGeom>
        <a:ln>
          <a:noFill/>
        </a:ln>
      </xdr:spPr>
    </xdr:pic>
    <xdr:clientData/>
  </xdr:twoCellAnchor>
  <xdr:twoCellAnchor editAs="oneCell">
    <xdr:from>
      <xdr:col>2</xdr:col>
      <xdr:colOff>44640</xdr:colOff>
      <xdr:row>1</xdr:row>
      <xdr:rowOff>38160</xdr:rowOff>
    </xdr:from>
    <xdr:to>
      <xdr:col>4</xdr:col>
      <xdr:colOff>32400</xdr:colOff>
      <xdr:row>8</xdr:row>
      <xdr:rowOff>114120</xdr:rowOff>
    </xdr:to>
    <xdr:pic>
      <xdr:nvPicPr>
        <xdr:cNvPr id="6" name="Imagen 11" descr="World cup trophy vector graphics"/>
        <xdr:cNvPicPr/>
      </xdr:nvPicPr>
      <xdr:blipFill>
        <a:blip r:embed="rId6"/>
        <a:stretch/>
      </xdr:blipFill>
      <xdr:spPr>
        <a:xfrm>
          <a:off x="1555920" y="228600"/>
          <a:ext cx="1499040" cy="1552320"/>
        </a:xfrm>
        <a:prstGeom prst="rect">
          <a:avLst/>
        </a:prstGeom>
        <a:ln>
          <a:noFill/>
        </a:ln>
      </xdr:spPr>
    </xdr:pic>
    <xdr:clientData/>
  </xdr:twoCellAnchor>
  <xdr:twoCellAnchor editAs="oneCell">
    <xdr:from>
      <xdr:col>1</xdr:col>
      <xdr:colOff>596880</xdr:colOff>
      <xdr:row>14</xdr:row>
      <xdr:rowOff>203040</xdr:rowOff>
    </xdr:from>
    <xdr:to>
      <xdr:col>4</xdr:col>
      <xdr:colOff>31680</xdr:colOff>
      <xdr:row>20</xdr:row>
      <xdr:rowOff>75600</xdr:rowOff>
    </xdr:to>
    <xdr:pic>
      <xdr:nvPicPr>
        <xdr:cNvPr id="7" name="Imagen 4" descr="">
          <a:hlinkClick r:id="rId7"/>
        </xdr:cNvPr>
        <xdr:cNvPicPr/>
      </xdr:nvPicPr>
      <xdr:blipFill>
        <a:blip r:embed="rId8"/>
        <a:stretch/>
      </xdr:blipFill>
      <xdr:spPr>
        <a:xfrm>
          <a:off x="1352520" y="3012840"/>
          <a:ext cx="1701720" cy="1034640"/>
        </a:xfrm>
        <a:prstGeom prst="rect">
          <a:avLst/>
        </a:prstGeom>
        <a:ln>
          <a:noFill/>
        </a:ln>
      </xdr:spPr>
    </xdr:pic>
    <xdr:clientData/>
  </xdr:twoCellAnchor>
  <xdr:twoCellAnchor editAs="twoCell">
    <xdr:from>
      <xdr:col>1</xdr:col>
      <xdr:colOff>612720</xdr:colOff>
      <xdr:row>15</xdr:row>
      <xdr:rowOff>66600</xdr:rowOff>
    </xdr:from>
    <xdr:to>
      <xdr:col>3</xdr:col>
      <xdr:colOff>736200</xdr:colOff>
      <xdr:row>17</xdr:row>
      <xdr:rowOff>2880</xdr:rowOff>
    </xdr:to>
    <xdr:sp>
      <xdr:nvSpPr>
        <xdr:cNvPr id="8" name="CustomShape 1">
          <a:hlinkClick r:id="rId9"/>
        </xdr:cNvPr>
        <xdr:cNvSpPr/>
      </xdr:nvSpPr>
      <xdr:spPr>
        <a:xfrm>
          <a:off x="1368360" y="3085920"/>
          <a:ext cx="1634760" cy="317160"/>
        </a:xfrm>
        <a:prstGeom prst="roundRect">
          <a:avLst>
            <a:gd name="adj" fmla="val 16667"/>
          </a:avLst>
        </a:prstGeom>
        <a:solidFill>
          <a:schemeClr val="tx1">
            <a:lumMod val="95000"/>
            <a:lumOff val="5000"/>
          </a:schemeClr>
        </a:solidFill>
        <a:ln>
          <a:noFill/>
        </a:ln>
        <a:effectLst>
          <a:outerShdw algn="tl" blurRad="50800" dir="2700000" dist="37674" rotWithShape="0">
            <a:srgbClr val="000000">
              <a:alpha val="40000"/>
            </a:srgbClr>
          </a:outerShdw>
        </a:effectLst>
      </xdr:spPr>
      <xdr:style>
        <a:lnRef idx="2">
          <a:schemeClr val="accent1">
            <a:shade val="50000"/>
          </a:schemeClr>
        </a:lnRef>
        <a:fillRef idx="1">
          <a:schemeClr val="accent1"/>
        </a:fillRef>
        <a:effectRef idx="0">
          <a:schemeClr val="accent1"/>
        </a:effectRef>
        <a:fontRef idx="minor"/>
      </xdr:style>
      <xdr:txBody>
        <a:bodyPr lIns="90000" rIns="90000" tIns="45000" bIns="45000">
          <a:noAutofit/>
        </a:bodyPr>
        <a:p>
          <a:pPr algn="ctr">
            <a:lnSpc>
              <a:spcPct val="100000"/>
            </a:lnSpc>
          </a:pPr>
          <a:r>
            <a:rPr b="1" lang="es-GT" sz="1200" spc="-1" strike="noStrike">
              <a:solidFill>
                <a:srgbClr val="ffffff"/>
              </a:solidFill>
              <a:latin typeface="Calibri"/>
            </a:rPr>
            <a:t>Video Instrucciones</a:t>
          </a:r>
          <a:r>
            <a:rPr b="1" lang="es-GT" sz="1100" spc="-1" strike="noStrike">
              <a:solidFill>
                <a:srgbClr val="ffffff"/>
              </a:solidFill>
              <a:latin typeface="Calibri"/>
            </a:rPr>
            <a:t> </a:t>
          </a:r>
          <a:endParaRPr b="0" lang="es-GT" sz="1100" spc="-1" strike="noStrike">
            <a:latin typeface="Times New Roman"/>
          </a:endParaRPr>
        </a:p>
      </xdr:txBody>
    </xdr:sp>
    <xdr:clientData/>
  </xdr:twoCellAnchor>
  <xdr:twoCellAnchor editAs="twoCell">
    <xdr:from>
      <xdr:col>5</xdr:col>
      <xdr:colOff>638280</xdr:colOff>
      <xdr:row>20</xdr:row>
      <xdr:rowOff>3240</xdr:rowOff>
    </xdr:from>
    <xdr:to>
      <xdr:col>7</xdr:col>
      <xdr:colOff>63360</xdr:colOff>
      <xdr:row>21</xdr:row>
      <xdr:rowOff>50400</xdr:rowOff>
    </xdr:to>
    <xdr:sp>
      <xdr:nvSpPr>
        <xdr:cNvPr id="9" name="CustomShape 1">
          <a:hlinkClick r:id="rId10"/>
        </xdr:cNvPr>
        <xdr:cNvSpPr/>
      </xdr:nvSpPr>
      <xdr:spPr>
        <a:xfrm>
          <a:off x="4557240" y="3975120"/>
          <a:ext cx="936360" cy="237600"/>
        </a:xfrm>
        <a:prstGeom prst="roundRect">
          <a:avLst>
            <a:gd name="adj" fmla="val 16667"/>
          </a:avLst>
        </a:prstGeom>
        <a:solidFill>
          <a:schemeClr val="tx2">
            <a:lumMod val="60000"/>
            <a:lumOff val="40000"/>
          </a:schemeClr>
        </a:solidFill>
        <a:ln>
          <a:noFill/>
        </a:ln>
        <a:effectLst>
          <a:outerShdw algn="tl" blurRad="50800" dir="2700000" dist="37674" rotWithShape="0">
            <a:srgbClr val="000000">
              <a:alpha val="40000"/>
            </a:srgbClr>
          </a:outerShdw>
        </a:effectLst>
      </xdr:spPr>
      <xdr:style>
        <a:lnRef idx="2">
          <a:schemeClr val="accent1">
            <a:shade val="50000"/>
          </a:schemeClr>
        </a:lnRef>
        <a:fillRef idx="1">
          <a:schemeClr val="accent1"/>
        </a:fillRef>
        <a:effectRef idx="0">
          <a:schemeClr val="accent1"/>
        </a:effectRef>
        <a:fontRef idx="minor"/>
      </xdr:style>
      <xdr:txBody>
        <a:bodyPr lIns="90000" rIns="90000" tIns="45000" bIns="45000" anchor="ctr">
          <a:noAutofit/>
        </a:bodyPr>
        <a:p>
          <a:pPr algn="ctr">
            <a:lnSpc>
              <a:spcPct val="100000"/>
            </a:lnSpc>
          </a:pPr>
          <a:r>
            <a:rPr b="0" lang="es-GT" sz="1050" spc="-1" strike="noStrike">
              <a:solidFill>
                <a:srgbClr val="ffffff"/>
              </a:solidFill>
              <a:latin typeface="Calibri"/>
            </a:rPr>
            <a:t>+ archivos excel</a:t>
          </a:r>
          <a:endParaRPr b="0" lang="es-GT" sz="1050" spc="-1" strike="noStrike">
            <a:latin typeface="Times New Roman"/>
          </a:endParaRPr>
        </a:p>
      </xdr:txBody>
    </xdr:sp>
    <xdr:clientData/>
  </xdr:twoCellAnchor>
  <xdr:twoCellAnchor editAs="twoCell">
    <xdr:from>
      <xdr:col>11</xdr:col>
      <xdr:colOff>270000</xdr:colOff>
      <xdr:row>7</xdr:row>
      <xdr:rowOff>88920</xdr:rowOff>
    </xdr:from>
    <xdr:to>
      <xdr:col>13</xdr:col>
      <xdr:colOff>507600</xdr:colOff>
      <xdr:row>13</xdr:row>
      <xdr:rowOff>50400</xdr:rowOff>
    </xdr:to>
    <xdr:sp>
      <xdr:nvSpPr>
        <xdr:cNvPr id="10" name="CustomShape 1">
          <a:hlinkClick r:id="rId11"/>
        </xdr:cNvPr>
        <xdr:cNvSpPr/>
      </xdr:nvSpPr>
      <xdr:spPr>
        <a:xfrm>
          <a:off x="8410680" y="1565280"/>
          <a:ext cx="1748880" cy="1104480"/>
        </a:xfrm>
        <a:prstGeom prst="roundRect">
          <a:avLst>
            <a:gd name="adj" fmla="val 16667"/>
          </a:avLst>
        </a:prstGeom>
        <a:solidFill>
          <a:srgbClr val="00b050"/>
        </a:solidFill>
        <a:ln>
          <a:noFill/>
        </a:ln>
        <a:effectLst>
          <a:outerShdw algn="tl" blurRad="50800" dir="2700000" dist="37674" rotWithShape="0">
            <a:srgbClr val="000000">
              <a:alpha val="40000"/>
            </a:srgbClr>
          </a:outerShdw>
        </a:effectLst>
      </xdr:spPr>
      <xdr:style>
        <a:lnRef idx="0">
          <a:schemeClr val="accent6"/>
        </a:lnRef>
        <a:fillRef idx="3">
          <a:schemeClr val="accent6"/>
        </a:fillRef>
        <a:effectRef idx="3">
          <a:schemeClr val="accent6"/>
        </a:effectRef>
        <a:fontRef idx="minor"/>
      </xdr:style>
      <xdr:txBody>
        <a:bodyPr lIns="90000" rIns="90000" tIns="45000" bIns="45000" anchor="ctr">
          <a:noAutofit/>
        </a:bodyPr>
        <a:p>
          <a:pPr algn="ctr">
            <a:lnSpc>
              <a:spcPct val="100000"/>
            </a:lnSpc>
          </a:pPr>
          <a:r>
            <a:rPr b="1" lang="es-GT" sz="1800" spc="-1" strike="noStrike">
              <a:solidFill>
                <a:srgbClr val="ffffff"/>
              </a:solidFill>
              <a:latin typeface="Calibri"/>
            </a:rPr>
            <a:t>Descargar excel Administrador po</a:t>
          </a:r>
          <a:r>
            <a:rPr b="1" lang="es-GT" sz="1600" spc="-1" strike="noStrike">
              <a:solidFill>
                <a:srgbClr val="ffffff"/>
              </a:solidFill>
              <a:latin typeface="Calibri"/>
            </a:rPr>
            <a:t>rra</a:t>
          </a:r>
          <a:endParaRPr b="0" lang="es-GT" sz="1600" spc="-1" strike="noStrike">
            <a:latin typeface="Times New Roman"/>
          </a:endParaRPr>
        </a:p>
      </xdr:txBody>
    </xdr:sp>
    <xdr:clientData/>
  </xdr:twoCellAnchor>
  <xdr:twoCellAnchor editAs="oneCell">
    <xdr:from>
      <xdr:col>12</xdr:col>
      <xdr:colOff>63360</xdr:colOff>
      <xdr:row>19</xdr:row>
      <xdr:rowOff>137160</xdr:rowOff>
    </xdr:from>
    <xdr:to>
      <xdr:col>12</xdr:col>
      <xdr:colOff>456840</xdr:colOff>
      <xdr:row>21</xdr:row>
      <xdr:rowOff>88560</xdr:rowOff>
    </xdr:to>
    <xdr:pic>
      <xdr:nvPicPr>
        <xdr:cNvPr id="11" name="Imagen 13" descr="Pinterest - Apps en Google Play">
          <a:hlinkClick r:id="rId12"/>
        </xdr:cNvPr>
        <xdr:cNvPicPr/>
      </xdr:nvPicPr>
      <xdr:blipFill>
        <a:blip r:embed="rId13"/>
        <a:srcRect l="11557" t="11675" r="11120" b="13707"/>
        <a:stretch/>
      </xdr:blipFill>
      <xdr:spPr>
        <a:xfrm>
          <a:off x="8959680" y="3918240"/>
          <a:ext cx="393480" cy="332640"/>
        </a:xfrm>
        <a:prstGeom prst="rect">
          <a:avLst/>
        </a:prstGeom>
        <a:ln>
          <a:noFill/>
        </a:ln>
      </xdr:spPr>
    </xdr:pic>
    <xdr:clientData/>
  </xdr:twoCellAnchor>
  <xdr:twoCellAnchor editAs="oneCell">
    <xdr:from>
      <xdr:col>11</xdr:col>
      <xdr:colOff>228600</xdr:colOff>
      <xdr:row>19</xdr:row>
      <xdr:rowOff>152280</xdr:rowOff>
    </xdr:from>
    <xdr:to>
      <xdr:col>11</xdr:col>
      <xdr:colOff>699840</xdr:colOff>
      <xdr:row>21</xdr:row>
      <xdr:rowOff>88560</xdr:rowOff>
    </xdr:to>
    <xdr:pic>
      <xdr:nvPicPr>
        <xdr:cNvPr id="12" name="Imagen 14" descr="Twitter - Wikipedia, la enciclopedia libre">
          <a:hlinkClick r:id="rId14"/>
        </xdr:cNvPr>
        <xdr:cNvPicPr/>
      </xdr:nvPicPr>
      <xdr:blipFill>
        <a:blip r:embed="rId15"/>
        <a:stretch/>
      </xdr:blipFill>
      <xdr:spPr>
        <a:xfrm>
          <a:off x="8369280" y="3933360"/>
          <a:ext cx="471240" cy="3175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16</xdr:col>
      <xdr:colOff>30600</xdr:colOff>
      <xdr:row>103</xdr:row>
      <xdr:rowOff>0</xdr:rowOff>
    </xdr:from>
    <xdr:to>
      <xdr:col>26</xdr:col>
      <xdr:colOff>133200</xdr:colOff>
      <xdr:row>104</xdr:row>
      <xdr:rowOff>192600</xdr:rowOff>
    </xdr:to>
    <xdr:sp>
      <xdr:nvSpPr>
        <xdr:cNvPr id="13" name="CustomShape 1">
          <a:hlinkClick r:id="rId1"/>
        </xdr:cNvPr>
        <xdr:cNvSpPr/>
      </xdr:nvSpPr>
      <xdr:spPr>
        <a:xfrm>
          <a:off x="6528240" y="20828520"/>
          <a:ext cx="3931920" cy="402120"/>
        </a:xfrm>
        <a:prstGeom prst="roundRect">
          <a:avLst>
            <a:gd name="adj" fmla="val 16667"/>
          </a:avLst>
        </a:prstGeom>
        <a:noFill/>
        <a:ln>
          <a:solidFill>
            <a:schemeClr val="bg1"/>
          </a:solidFill>
          <a:round/>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noAutofit/>
        </a:bodyPr>
        <a:p>
          <a:pPr algn="ctr">
            <a:lnSpc>
              <a:spcPct val="100000"/>
            </a:lnSpc>
          </a:pPr>
          <a:r>
            <a:rPr b="0" lang="es-GT" sz="1100" spc="-1" strike="noStrike">
              <a:solidFill>
                <a:srgbClr val="ffffff"/>
              </a:solidFill>
              <a:latin typeface="Calibri"/>
            </a:rPr>
            <a:t>Autor: Miguel Angel Tejero</a:t>
          </a:r>
          <a:endParaRPr b="0" lang="es-GT" sz="1100" spc="-1" strike="noStrike">
            <a:latin typeface="Times New Roman"/>
          </a:endParaRPr>
        </a:p>
      </xdr:txBody>
    </xdr:sp>
    <xdr:clientData/>
  </xdr:twoCellAnchor>
  <xdr:twoCellAnchor editAs="oneCell">
    <xdr:from>
      <xdr:col>22</xdr:col>
      <xdr:colOff>152280</xdr:colOff>
      <xdr:row>103</xdr:row>
      <xdr:rowOff>85680</xdr:rowOff>
    </xdr:from>
    <xdr:to>
      <xdr:col>25</xdr:col>
      <xdr:colOff>285120</xdr:colOff>
      <xdr:row>104</xdr:row>
      <xdr:rowOff>120240</xdr:rowOff>
    </xdr:to>
    <xdr:pic>
      <xdr:nvPicPr>
        <xdr:cNvPr id="14" name="Imagen 15" descr="https://www.paypalobjects.com/es_ES/ES/i/btn/btn_donate_LG.gif">
          <a:hlinkClick r:id="rId2"/>
        </xdr:cNvPr>
        <xdr:cNvPicPr/>
      </xdr:nvPicPr>
      <xdr:blipFill>
        <a:blip r:embed="rId3"/>
        <a:stretch/>
      </xdr:blipFill>
      <xdr:spPr>
        <a:xfrm>
          <a:off x="9331200" y="20914200"/>
          <a:ext cx="948600" cy="244080"/>
        </a:xfrm>
        <a:prstGeom prst="rect">
          <a:avLst/>
        </a:prstGeom>
        <a:ln>
          <a:noFill/>
        </a:ln>
      </xdr:spPr>
    </xdr:pic>
    <xdr:clientData/>
  </xdr:twoCellAnchor>
  <xdr:twoCellAnchor editAs="oneCell">
    <xdr:from>
      <xdr:col>27</xdr:col>
      <xdr:colOff>596880</xdr:colOff>
      <xdr:row>0</xdr:row>
      <xdr:rowOff>63360</xdr:rowOff>
    </xdr:from>
    <xdr:to>
      <xdr:col>29</xdr:col>
      <xdr:colOff>151920</xdr:colOff>
      <xdr:row>2</xdr:row>
      <xdr:rowOff>136080</xdr:rowOff>
    </xdr:to>
    <xdr:pic>
      <xdr:nvPicPr>
        <xdr:cNvPr id="15" name="Imagen 3" descr="">
          <a:hlinkClick r:id="rId4"/>
        </xdr:cNvPr>
        <xdr:cNvPicPr/>
      </xdr:nvPicPr>
      <xdr:blipFill>
        <a:blip r:embed="rId5"/>
        <a:stretch/>
      </xdr:blipFill>
      <xdr:spPr>
        <a:xfrm>
          <a:off x="11165040" y="63360"/>
          <a:ext cx="995760" cy="630000"/>
        </a:xfrm>
        <a:prstGeom prst="rect">
          <a:avLst/>
        </a:prstGeom>
        <a:ln>
          <a:noFill/>
        </a:ln>
      </xdr:spPr>
    </xdr:pic>
    <xdr:clientData/>
  </xdr:twoCellAnchor>
  <xdr:twoCellAnchor editAs="twoCell">
    <xdr:from>
      <xdr:col>27</xdr:col>
      <xdr:colOff>736560</xdr:colOff>
      <xdr:row>0</xdr:row>
      <xdr:rowOff>228600</xdr:rowOff>
    </xdr:from>
    <xdr:to>
      <xdr:col>28</xdr:col>
      <xdr:colOff>228240</xdr:colOff>
      <xdr:row>1</xdr:row>
      <xdr:rowOff>241200</xdr:rowOff>
    </xdr:to>
    <xdr:sp>
      <xdr:nvSpPr>
        <xdr:cNvPr id="16" name="CustomShape 1">
          <a:hlinkClick r:id="rId6"/>
        </xdr:cNvPr>
        <xdr:cNvSpPr/>
      </xdr:nvSpPr>
      <xdr:spPr>
        <a:xfrm>
          <a:off x="11304720" y="228600"/>
          <a:ext cx="691200" cy="317160"/>
        </a:xfrm>
        <a:prstGeom prst="roundRect">
          <a:avLst>
            <a:gd name="adj" fmla="val 16667"/>
          </a:avLst>
        </a:prstGeom>
        <a:solidFill>
          <a:schemeClr val="tx1">
            <a:lumMod val="95000"/>
            <a:lumOff val="5000"/>
          </a:schemeClr>
        </a:solidFill>
        <a:ln>
          <a:noFill/>
        </a:ln>
        <a:effectLst>
          <a:outerShdw algn="tl" blurRad="50800" dir="2700000" dist="37674" rotWithShape="0">
            <a:srgbClr val="000000">
              <a:alpha val="40000"/>
            </a:srgbClr>
          </a:outerShdw>
        </a:effectLst>
      </xdr:spPr>
      <xdr:style>
        <a:lnRef idx="2">
          <a:schemeClr val="accent1">
            <a:shade val="50000"/>
          </a:schemeClr>
        </a:lnRef>
        <a:fillRef idx="1">
          <a:schemeClr val="accent1"/>
        </a:fillRef>
        <a:effectRef idx="0">
          <a:schemeClr val="accent1"/>
        </a:effectRef>
        <a:fontRef idx="minor"/>
      </xdr:style>
      <xdr:txBody>
        <a:bodyPr lIns="90000" rIns="90000" tIns="45000" bIns="45000">
          <a:noAutofit/>
        </a:bodyPr>
        <a:p>
          <a:pPr algn="ctr">
            <a:lnSpc>
              <a:spcPct val="100000"/>
            </a:lnSpc>
          </a:pPr>
          <a:r>
            <a:rPr b="1" lang="es-GT" sz="1200" spc="-1" strike="noStrike">
              <a:solidFill>
                <a:srgbClr val="ffffff"/>
              </a:solidFill>
              <a:latin typeface="Calibri"/>
            </a:rPr>
            <a:t> </a:t>
          </a:r>
          <a:r>
            <a:rPr b="1" lang="es-GT" sz="1200" spc="-1" strike="noStrike">
              <a:solidFill>
                <a:srgbClr val="ffffff"/>
              </a:solidFill>
              <a:latin typeface="Calibri"/>
            </a:rPr>
            <a:t>(Video)</a:t>
          </a:r>
          <a:endParaRPr b="0" lang="es-GT" sz="1200" spc="-1" strike="noStrike">
            <a:latin typeface="Times New Roman"/>
          </a:endParaRPr>
        </a:p>
      </xdr:txBody>
    </xdr:sp>
    <xdr:clientData/>
  </xdr:twoCellAnchor>
  <xdr:twoCellAnchor editAs="oneCell">
    <xdr:from>
      <xdr:col>24</xdr:col>
      <xdr:colOff>266760</xdr:colOff>
      <xdr:row>0</xdr:row>
      <xdr:rowOff>203040</xdr:rowOff>
    </xdr:from>
    <xdr:to>
      <xdr:col>27</xdr:col>
      <xdr:colOff>348840</xdr:colOff>
      <xdr:row>1</xdr:row>
      <xdr:rowOff>148680</xdr:rowOff>
    </xdr:to>
    <xdr:pic>
      <xdr:nvPicPr>
        <xdr:cNvPr id="17" name="Imagen 5" descr="https://www.paypalobjects.com/es_ES/ES/i/btn/btn_donate_LG.gif">
          <a:hlinkClick r:id="rId7"/>
        </xdr:cNvPr>
        <xdr:cNvPicPr/>
      </xdr:nvPicPr>
      <xdr:blipFill>
        <a:blip r:embed="rId8"/>
        <a:stretch/>
      </xdr:blipFill>
      <xdr:spPr>
        <a:xfrm>
          <a:off x="9969480" y="203040"/>
          <a:ext cx="947520" cy="250200"/>
        </a:xfrm>
        <a:prstGeom prst="rect">
          <a:avLst/>
        </a:prstGeom>
        <a:ln>
          <a:noFill/>
        </a:ln>
      </xdr:spPr>
    </xdr:pic>
    <xdr:clientData/>
  </xdr:twoCellAnchor>
</xdr:wsDr>
</file>

<file path=xl/tables/table1.xml><?xml version="1.0" encoding="utf-8"?>
<table xmlns="http://schemas.openxmlformats.org/spreadsheetml/2006/main" id="1" name="Tabla2" displayName="Tabla2" ref="AV2:AW11" headerRowCount="1" totalsRowCount="0" totalsRowShown="0">
  <tableColumns count="2">
    <tableColumn id="1" name="TOPIC"/>
    <tableColumn id="2" name="VALUE"/>
  </tableColumns>
</table>
</file>

<file path=xl/tables/table2.xml><?xml version="1.0" encoding="utf-8"?>
<table xmlns="http://schemas.openxmlformats.org/spreadsheetml/2006/main" id="2" name="Tabla3" displayName="Tabla3" ref="A1:D33" headerRowCount="1" totalsRowCount="0" totalsRowShown="0">
  <tableColumns count="4">
    <tableColumn id="1" name="OK"/>
    <tableColumn id="2" name="NombreEquipo"/>
    <tableColumn id="3" name="Grupo"/>
    <tableColumn id="4" name="Rank"/>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1.xml"/>
</Relationships>
</file>

<file path=xl/worksheets/_rels/sheet6.xml.rels><?xml version="1.0" encoding="UTF-8"?>
<Relationships xmlns="http://schemas.openxmlformats.org/package/2006/relationships"><Relationship Id="rId1" Type="http://schemas.openxmlformats.org/officeDocument/2006/relationships/table" Target="../tables/table2.xml"/>
</Relationships>
</file>

<file path=xl/worksheets/_rels/sheet7.xml.rels><?xml version="1.0" encoding="UTF-8"?>
<Relationships xmlns="http://schemas.openxmlformats.org/package/2006/relationships"><Relationship Id="rId1" Type="http://schemas.openxmlformats.org/officeDocument/2006/relationships/hyperlink" Target="https://www.linkedin.com/in/matejero" TargetMode="External"/><Relationship Id="rId2" Type="http://schemas.openxmlformats.org/officeDocument/2006/relationships/hyperlink" Target="https://youtu.be/lDZuQq2z-lA" TargetMode="External"/><Relationship Id="rId3" Type="http://schemas.openxmlformats.org/officeDocument/2006/relationships/hyperlink" Target="https://matejero.com/world-cup-excel-sweepstake/" TargetMode="External"/><Relationship Id="rId4" Type="http://schemas.openxmlformats.org/officeDocument/2006/relationships/hyperlink" Target="https://matejero.e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Y62"/>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0.72265625" defaultRowHeight="15" zeroHeight="true" outlineLevelRow="0" outlineLevelCol="0"/>
  <cols>
    <col collapsed="false" customWidth="false" hidden="false" outlineLevel="0" max="4" min="1" style="1" width="10.71"/>
    <col collapsed="false" customWidth="true" hidden="false" outlineLevel="0" max="5" min="5" style="1" width="12.71"/>
    <col collapsed="false" customWidth="false" hidden="false" outlineLevel="0" max="9" min="6" style="1" width="10.71"/>
    <col collapsed="false" customWidth="true" hidden="false" outlineLevel="0" max="10" min="10" style="1" width="6.28"/>
    <col collapsed="false" customWidth="false" hidden="false" outlineLevel="0" max="15" min="11" style="1" width="10.71"/>
    <col collapsed="false" customWidth="true" hidden="false" outlineLevel="0" max="16" min="16" style="1" width="6.15"/>
    <col collapsed="false" customWidth="false" hidden="false" outlineLevel="0" max="1025" min="17" style="1" width="10.71"/>
  </cols>
  <sheetData>
    <row r="1" customFormat="false" ht="15" hidden="false" customHeight="false" outlineLevel="0" collapsed="false"/>
    <row r="2" customFormat="false" ht="15" hidden="false" customHeight="false" outlineLevel="0" collapsed="false"/>
    <row r="3" customFormat="false" ht="15" hidden="false" customHeight="false" outlineLevel="0" collapsed="false"/>
    <row r="4" customFormat="false" ht="15" hidden="false" customHeight="false" outlineLevel="0" collapsed="false">
      <c r="K4" s="2"/>
    </row>
    <row r="5" customFormat="false" ht="18.75" hidden="false" customHeight="false" outlineLevel="0" collapsed="false">
      <c r="K5" s="3" t="s">
        <v>0</v>
      </c>
    </row>
    <row r="6" customFormat="false" ht="18.75" hidden="false" customHeight="false" outlineLevel="0" collapsed="false">
      <c r="K6" s="3" t="s">
        <v>1</v>
      </c>
    </row>
    <row r="7" customFormat="false" ht="18.75" hidden="false" customHeight="false" outlineLevel="0" collapsed="false">
      <c r="K7" s="3" t="s">
        <v>2</v>
      </c>
    </row>
    <row r="8" customFormat="false" ht="15" hidden="false" customHeight="false" outlineLevel="0" collapsed="false"/>
    <row r="9" customFormat="false" ht="15" hidden="false" customHeight="false" outlineLevel="0" collapsed="false"/>
    <row r="10" customFormat="false" ht="15" hidden="false" customHeight="false" outlineLevel="0" collapsed="false"/>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5" customFormat="false" ht="16.5" hidden="false" customHeight="false" outlineLevel="0" collapsed="false">
      <c r="F15" s="4"/>
    </row>
    <row r="16" customFormat="false" ht="15" hidden="false" customHeight="false" outlineLevel="0" collapsed="false"/>
    <row r="17" customFormat="false" ht="15" hidden="false" customHeight="false" outlineLevel="0" collapsed="false">
      <c r="I17" s="5"/>
    </row>
    <row r="18" customFormat="false" ht="15" hidden="false" customHeight="false" outlineLevel="0" collapsed="false"/>
    <row r="19" customFormat="false" ht="15" hidden="false" customHeight="false" outlineLevel="0" collapsed="false">
      <c r="F19" s="6" t="s">
        <v>3</v>
      </c>
      <c r="L19" s="1" t="s">
        <v>4</v>
      </c>
    </row>
    <row r="20" customFormat="false" ht="15" hidden="false" customHeight="false" outlineLevel="0" collapsed="false"/>
    <row r="21" customFormat="false" ht="15" hidden="false" customHeight="false" outlineLevel="0" collapsed="false">
      <c r="L21" s="2"/>
    </row>
    <row r="22" customFormat="false" ht="15" hidden="false" customHeight="false" outlineLevel="0" collapsed="false">
      <c r="A22" s="2"/>
    </row>
    <row r="57" customFormat="false" ht="15" hidden="true" customHeight="false" outlineLevel="0" collapsed="false">
      <c r="AGD57" s="1" t="n">
        <f aca="false" t="array" ref="AGD57:AGD57">IF(AND($CC$57:$CC$58=$CC$57,$CC$58&lt;&gt;$CC$59,$CC$59&lt;&gt;$CC$60,$CC$60&lt;&gt;$CC$61,$CC$61:$CC$62=$CC$61,$CE$57:$CE$58=$CE$57,$CE$61:$CE$62=$CE$61,$CF$57:$CF$58=$CF$57,$CF$61&lt;&gt;$CF$62,$CG$57:$CG$58=$CG$57),1,0)</f>
        <v>0</v>
      </c>
      <c r="AGE57" s="1" t="n">
        <f aca="false" t="array" ref="AGE57:AGE57">IF(AND($CC$57:$CC$58=$CC$57,$CC$58&lt;&gt;$CC$59,$CC$59&lt;&gt;$CC$60,$CC$60&lt;&gt;$CC$61,$CC$61:$CC$62=$CC$61,$CE$57:$CE$58=$CE$57,$CE$61:$CE$62=$CE$61,$CF$57&lt;&gt;$CF$58,$CF$61:$CF$62=$CF$61,$CG$61:$CG$62=$CG$61),1,0)</f>
        <v>0</v>
      </c>
      <c r="AGF57" s="1" t="n">
        <f aca="false" t="array" ref="AGF57:AGF57">IF(AND($CC$57:$CC$58=$CC$57,$CC$58&lt;&gt;$CC$59,$CC$59&lt;&gt;$CC$60,$CC$60&lt;&gt;$CC$61,$CC$61:$CC$62=$CC$61,$CE$57:$CE$58=$CE$57,$CE$61:$CE$62=$CE$61,$CF$57&lt;&gt;$CF$58,$CF$61&lt;&gt;$CF$62),1,0)</f>
        <v>0</v>
      </c>
    </row>
    <row r="58" customFormat="false" ht="15" hidden="true" customHeight="false" outlineLevel="0" collapsed="false">
      <c r="CF58" s="1" t="n">
        <v>5</v>
      </c>
      <c r="AGD58" s="1" t="n">
        <f aca="false" t="array" ref="AGD58:AGD58">IF(AND($CC$57:$CC$58=$CC$58,$CC$58&lt;&gt;$CC$59,$CC$59&lt;&gt;$CC$60,$CC$60&lt;&gt;$CC$61,$CC$61:$CC$62=$CC$61,$CE$57:$CE$58=$CE$58,$CE$61:$CE$62=$CE$61,$CF$57:$CF$58=$CF$58,$CF$61&lt;&gt;$CF$62,$CG$57:$CG$58=$CG$58),1,0)</f>
        <v>0</v>
      </c>
      <c r="AGE58" s="1" t="n">
        <f aca="false" t="array" ref="AGE58:AGE58">IF(AND($CC$57:$CC$58=$CC$58,$CC$58&lt;&gt;$CC$59,$CC$59&lt;&gt;$CC$60,$CC$60&lt;&gt;$CC$61,$CC$61:$CC$62=$CC$61,$CE$57:$CE$58=$CE$58,$CE$61:$CE$62=$CE$61,$CF$57&lt;&gt;$CF$58,$CF$61:$CF$62=$CF$61,$CG$61:$CG$62=$CG$61),1,0)</f>
        <v>0</v>
      </c>
      <c r="AGF58" s="1" t="n">
        <f aca="false" t="array" ref="AGF58:AGF58">IF(AND($CC$57:$CC$58=$CC$58,$CC$58&lt;&gt;$CC$59,$CC$59&lt;&gt;$CC$60,$CC$60&lt;&gt;$CC$61,$CC$61:$CC$62=$CC$61,$CE$57:$CE$58=$CE$58,$CE$61:$CE$62=$CE$61,$CF$57&lt;&gt;$CF$58,$CF$61&lt;&gt;$CF$62),1,0)</f>
        <v>0</v>
      </c>
    </row>
    <row r="59" customFormat="false" ht="15" hidden="true" customHeight="false" outlineLevel="0" collapsed="false">
      <c r="JZ59" s="1" t="n">
        <f aca="false" t="array" ref="JZ59:JZ59">IF(AND($CC$57:$CC$62=$CC$59,$CE$57:$CE$62=$CE$59,$CF$57:$CF$58=$CF$58,$CF$58&lt;&gt;$CF$59,$CF$59:$CF$62=$CF$59,$CG$57:$CG$58=$CG$58,$CG$59&lt;&gt;$CG$60,$CG$60:$CG$62=$CG$60),1,0)</f>
        <v>0</v>
      </c>
      <c r="AGD59" s="1" t="n">
        <f aca="false" t="array" ref="AGD59:AGD59">IF(AND($CC$57:$CC$58=$CC$58,$CC$58&lt;&gt;$CC$59,$CC$59&lt;&gt;$CC$60,$CC$60&lt;&gt;$CC$61,$CC$61:$CC$62=$CC$61,$CE$57:$CE$58=$CE$58,$CE$61:$CE$62=$CE$61,$CF$57:$CF$58=$CF$58,$CF$61&lt;&gt;$CF$62,$CG$57:$CG$58=$CG$58),1,0)</f>
        <v>0</v>
      </c>
      <c r="AGE59" s="1" t="n">
        <f aca="false" t="array" ref="AGE59:AGE59">IF(AND($CC$57:$CC$58=$CC$58,$CC$58&lt;&gt;$CC$59,$CC$59&lt;&gt;$CC$60,$CC$60&lt;&gt;$CC$61,$CC$61:$CC$62=$CC$61,$CE$57:$CE$58=$CE$58,$CE$61:$CE$62=$CE$61,$CF$57&lt;&gt;$CF$58,$CF$61:$CF$62=$CF$61,$CG$61:$CG$62=$CG$61),1,0)</f>
        <v>0</v>
      </c>
      <c r="AGF59" s="1" t="n">
        <f aca="false" t="array" ref="AGF59:AGF59">IF(AND($CC$57:$CC$58=$CC$58,$CC$58&lt;&gt;$CC$59,$CC$59&lt;&gt;$CC$60,$CC$60&lt;&gt;$CC$61,$CC$61:$CC$62=$CC$61,$CE$57:$CE$58=$CE$58,$CE$61:$CE$62=$CE$61,$CF$57&lt;&gt;$CF$58,$CF$61&lt;&gt;$CF$62),1,0)</f>
        <v>0</v>
      </c>
    </row>
    <row r="60" customFormat="false" ht="15" hidden="true" customHeight="false" outlineLevel="0" collapsed="false">
      <c r="JZ60" s="1" t="n">
        <f aca="false" t="array" ref="JZ60:JZ60">IF(AND($CC$57:$CC$62=$CC$60,$CE$57:$CE$62=$CE$60,$CF$57:$CF$58=$CF$58,$CF$58&lt;&gt;$CF$59,$CF$59:$CF$62=$CF$60,$CG$57:$CG$58=$CG$58,$CG$59&lt;&gt;$CG$60,$CG$60:$CG$62=$CG$60),1,0)</f>
        <v>0</v>
      </c>
      <c r="AFZ60" s="1" t="n">
        <f aca="false" t="array" ref="AFZ60:AFZ60">IF(AND($CC$57:$CC$58=$CC$58,$CC$58&lt;&gt;$CC$59,$CC$59&lt;&gt;$CC$60,$CC$60:$CC$62=$CC$60,$CE$57:$CE$58=$CE$58,$CE$60:$CE$62=$CE$60,$CF$57&lt;&gt;$CF$58,$CF$60:$CF$62=$CF$60,$CG$60:$CG$62=$CG$60),1,0)</f>
        <v>0</v>
      </c>
      <c r="AGA60" s="1" t="n">
        <f aca="false" t="array" ref="AGA60:AGA60">IF(AND($CC$57:$CC$58=$CC$58,$CC$58&lt;&gt;$CC$59,$CC$59&lt;&gt;$CC$60,$CC$60:$CC$62=$CC$60,$CE$57:$CE$58=$CE$58,$CE$60:$CE$62=$CE$60,$CF$57&lt;&gt;$CF$58,$CF$60:$CF$62=$CF$60,$CG$60:$CG$62=$CG$60),1,0)</f>
        <v>0</v>
      </c>
      <c r="AGD60" s="1" t="n">
        <f aca="false" t="array" ref="AGD60:AGD60">IF(AND($CC$57:$CC$58=$CC$58,$CC$58&lt;&gt;$CC$59,$CC$59&lt;&gt;$CC$60,$CC$60&lt;&gt;$CC$61,$CC$61:$CC$62=$CC$61,$CE$57:$CE$58=$CE$58,$CE$61:$CE$62=$CE$61,$CF$57:$CF$58=$CF$58,$CF$61&lt;&gt;$CF$62,$CG$57:$CG$58=$CG$58),1,0)</f>
        <v>0</v>
      </c>
      <c r="AGE60" s="1" t="n">
        <f aca="false" t="array" ref="AGE60:AGE60">IF(AND($CC$57:$CC$58=$CC$58,$CC$58&lt;&gt;$CC$59,$CC$59&lt;&gt;$CC$60,$CC$60&lt;&gt;$CC$61,$CC$61:$CC$62=$CC$61,$CE$57:$CE$58=$CE$58,$CE$61:$CE$62=$CE$61,$CF$57&lt;&gt;$CF$58,$CF$61:$CF$62=$CF$61,$CG$61:$CG$62=$CG$61),1,0)</f>
        <v>0</v>
      </c>
      <c r="AGF60" s="1" t="n">
        <f aca="false" t="array" ref="AGF60:AGF60">IF(AND($CC$57:$CC$58=$CC$58,$CC$58&lt;&gt;$CC$59,$CC$59&lt;&gt;$CC$60,$CC$60&lt;&gt;$CC$61,$CC$61:$CC$62=$CC$61,$CE$57:$CE$58=$CE$58,$CE$61:$CE$62=$CE$61,$CF$57&lt;&gt;$CF$58,$CF$61&lt;&gt;$CF$62),1,0)</f>
        <v>0</v>
      </c>
    </row>
    <row r="61" customFormat="false" ht="15" hidden="true" customHeight="false" outlineLevel="0" collapsed="false">
      <c r="JZ61" s="1" t="n">
        <f aca="false" t="array" ref="JZ61:JZ61">IF(AND($CC$57:$CC$62=$CC$61,$CE$57:$CE$62=$CE$61,$CF$57:$CF$58=$CF$58,$CF$58&lt;&gt;$CF$59,$CF$59:$CF$62=$CF$60,$CG$57:$CG$58=$CG$58,$CG$59&lt;&gt;$CG$60,$CG$60:$CG$62=$CG$61),1,0)</f>
        <v>0</v>
      </c>
      <c r="AFZ61" s="1" t="n">
        <f aca="false" t="array" ref="AFZ61:AFZ61">IF(AND($CC$57:$CC$58=$CC$58,$CC$58&lt;&gt;$CC$59,$CC$59&lt;&gt;$CC$60,$CC$60:$CC$62=$CC$61,$CE$57:$CE$58=$CE$58,$CE$60:$CE$62=$CE$61,$CF$57&lt;&gt;$CF$58,$CF$60:$CF$62=$CF$61,$CG$60:$CG$62=$CG$61),1,0)</f>
        <v>0</v>
      </c>
      <c r="AGA61" s="1" t="n">
        <f aca="false" t="array" ref="AGA61:AGA61">IF(AND($CC$57:$CC$58=$CC$58,$CC$58&lt;&gt;$CC$59,$CC$59&lt;&gt;$CC$60,$CC$60:$CC$62=$CC$61,$CE$57:$CE$58=$CE$58,$CE$60:$CE$62=$CE$61,$CF$57&lt;&gt;$CF$58,$CF$60:$CF$62=$CF$61,$CG$60:$CG$62=$CG$61),1,0)</f>
        <v>0</v>
      </c>
      <c r="AGD61" s="1" t="n">
        <f aca="false" t="array" ref="AGD61:AGD61">IF(AND($CC$57:$CC$58=$CC$58,$CC$58&lt;&gt;$CC$59,$CC$59&lt;&gt;$CC$60,$CC$60&lt;&gt;$CC$61,$CC$61:$CC$62=$CC$61,$CE$57:$CE$58=$CE$58,$CE$61:$CE$62=$CE$61,$CF$57:$CF$58=$CF$58,$CF$61&lt;&gt;$CF$62,$CG$57:$CG$58=$CG$58),1,0)</f>
        <v>0</v>
      </c>
      <c r="AGE61" s="1" t="n">
        <f aca="false" t="array" ref="AGE61:AGE61">IF(AND($CC$57:$CC$58=$CC$58,$CC$58&lt;&gt;$CC$59,$CC$59&lt;&gt;$CC$60,$CC$60&lt;&gt;$CC$61,$CC$61:$CC$62=$CC$61,$CE$57:$CE$58=$CE$58,$CE$61:$CE$62=$CE$61,$CF$57&lt;&gt;$CF$58,$CF$61:$CF$62=$CF$61,$CG$61:$CG$62=$CG$61),1,0)</f>
        <v>0</v>
      </c>
      <c r="AGF61" s="1" t="n">
        <f aca="false" t="array" ref="AGF61:AGF61">IF(AND($CC$57:$CC$58=$CC$58,$CC$58&lt;&gt;$CC$59,$CC$59&lt;&gt;$CC$60,$CC$60&lt;&gt;$CC$61,$CC$61:$CC$62=$CC$61,$CE$57:$CE$58=$CE$58,$CE$61:$CE$62=$CE$61,$CF$57&lt;&gt;$CF$58,$CF$61&lt;&gt;$CF$62),1,0)</f>
        <v>0</v>
      </c>
    </row>
    <row r="62" customFormat="false" ht="15" hidden="true" customHeight="false" outlineLevel="0" collapsed="false">
      <c r="CF62" s="1" t="n">
        <v>1</v>
      </c>
      <c r="JZ62" s="1" t="n">
        <f aca="false" t="array" ref="JZ62:JZ62">IF(AND($CC$57:$CC$62=$CC$62,$CE$57:$CE$62=$CE$62,$CF$57:$CF$58=$CF$58,$CF$58&lt;&gt;$CF$59,$CF$59:$CF$62=$CF$60,$CG$57:$CG$58=$CG$58,$CG$59&lt;&gt;$CG$60,$CG$60:$CG$62=$CG$62),1,0)</f>
        <v>0</v>
      </c>
      <c r="AFZ62" s="1" t="n">
        <f aca="false" t="array" ref="AFZ62:AFZ62">IF(AND($CC$57:$CC$58=$CC$58,$CC$58&lt;&gt;$CC$59,$CC$59&lt;&gt;$CC$60,$CC$60:$CC$62=$CC$62,$CE$57:$CE$58=$CE$58,$CE$60:$CE$62=$CE$62,$CF$57&lt;&gt;$CF$58,$CF$60:$CF$62=$CF$62,$CG$60:$CG$62=$CG$62),1,0)</f>
        <v>0</v>
      </c>
      <c r="AGA62" s="1" t="n">
        <f aca="false" t="array" ref="AGA62:AGA62">IF(AND($CC$57:$CC$58=$CC$58,$CC$58&lt;&gt;$CC$59,$CC$59&lt;&gt;$CC$60,$CC$60:$CC$62=$CC$62,$CE$57:$CE$58=$CE$58,$CE$60:$CE$62=$CE$62,$CF$57&lt;&gt;$CF$58,$CF$60:$CF$62=$CF$62,$CG$60:$CG$62=$CG$62),1,0)</f>
        <v>0</v>
      </c>
      <c r="AGD62" s="1" t="n">
        <f aca="false" t="array" ref="AGD62:AGD62">IF(AND($CC$57:$CC$58=$CC$58,$CC$58&lt;&gt;$CC$59,$CC$59&lt;&gt;$CC$60,$CC$60&lt;&gt;$CC$61,$CC$61:$CC$62=$CC$62,$CE$57:$CE$58=$CE$58,$CE$61:$CE$62=$CE$62,$CF$57:$CF$58=$CF$58,$CF$61&lt;&gt;$CF$62,$CG$57:$CG$58=$CG$58),1,0)</f>
        <v>0</v>
      </c>
      <c r="AGE62" s="1" t="n">
        <f aca="false" t="array" ref="AGE62:AGE62">IF(AND($CC$57:$CC$58=$CC$58,$CC$58&lt;&gt;$CC$59,$CC$59&lt;&gt;$CC$60,$CC$60&lt;&gt;$CC$61,$CC$61:$CC$62=$CC$62,$CE$57:$CE$58=$CE$58,$CE$61:$CE$62=$CE$62,$CF$57&lt;&gt;$CF$58,$CF$61:$CF$62=$CF$62,$CG$61:$CG$62=$CG$62),1,0)</f>
        <v>0</v>
      </c>
      <c r="AGF62" s="1" t="n">
        <f aca="false" t="array" ref="AGF62:AGF62">IF(AND($CC$57:$CC$58=$CC$58,$CC$58&lt;&gt;$CC$59,$CC$59&lt;&gt;$CC$60,$CC$60&lt;&gt;$CC$61,$CC$61:$CC$62=$CC$62,$CE$57:$CE$58=$CE$58,$CE$61:$CE$62=$CE$62,$CF$57&lt;&gt;$CF$58,$CF$61&lt;&gt;$CF$62),1,0)</f>
        <v>0</v>
      </c>
      <c r="AGX62" s="1" t="n">
        <f aca="false" t="array" ref="AGX62:AGX62">IF(AND($CC$57&lt;&gt;$CC$58,$CC$58:$CC$62=$CC$62,$CE$58:$CE$62=$CE$62,$CF$58&lt;&gt;$CF$59,$CF$59&lt;&gt;$CF$60,$CF$60&lt;&gt;$CF$61,$CF$61:$CF$62=$CF$62,$CG$61:$CG$62=$CG$62),1,0)</f>
        <v>0</v>
      </c>
      <c r="AGY62" s="1" t="n">
        <f aca="false" t="array" ref="AGY62: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true" scenarios="true" selectLockedCells="true" selectUnlockedCells="true"/>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Q217"/>
  <sheetViews>
    <sheetView showFormulas="false" showGridLines="false" showRowColHeaders="false" showZeros="true" rightToLeft="false" tabSelected="true" showOutlineSymbols="true" defaultGridColor="true" view="normal" topLeftCell="G64" colorId="64" zoomScale="110" zoomScaleNormal="110" zoomScalePageLayoutView="100" workbookViewId="0">
      <selection pane="topLeft" activeCell="L71" activeCellId="0" sqref="L71"/>
    </sheetView>
  </sheetViews>
  <sheetFormatPr defaultColWidth="10.72265625" defaultRowHeight="15" zeroHeight="true" outlineLevelRow="0" outlineLevelCol="0"/>
  <cols>
    <col collapsed="false" customWidth="false" hidden="true" outlineLevel="0" max="2" min="1" style="7" width="10.71"/>
    <col collapsed="false" customWidth="true" hidden="true" outlineLevel="0" max="3" min="3" style="8" width="2.14"/>
    <col collapsed="false" customWidth="true" hidden="false" outlineLevel="0" max="4" min="4" style="1" width="2.14"/>
    <col collapsed="false" customWidth="true" hidden="false" outlineLevel="0" max="5" min="5" style="1" width="6.71"/>
    <col collapsed="false" customWidth="true" hidden="false" outlineLevel="0" max="6" min="6" style="1" width="11.42"/>
    <col collapsed="false" customWidth="true" hidden="false" outlineLevel="0" max="7" min="7" style="1" width="6.71"/>
    <col collapsed="false" customWidth="true" hidden="false" outlineLevel="0" max="8" min="8" style="1" width="3.99"/>
    <col collapsed="false" customWidth="true" hidden="false" outlineLevel="0" max="9" min="9" style="1" width="19"/>
    <col collapsed="false" customWidth="true" hidden="false" outlineLevel="0" max="10" min="10" style="1" width="3.71"/>
    <col collapsed="false" customWidth="true" hidden="false" outlineLevel="0" max="12" min="11" style="1" width="5.28"/>
    <col collapsed="false" customWidth="true" hidden="false" outlineLevel="0" max="13" min="13" style="1" width="3.71"/>
    <col collapsed="false" customWidth="true" hidden="false" outlineLevel="0" max="14" min="14" style="1" width="19"/>
    <col collapsed="false" customWidth="true" hidden="false" outlineLevel="0" max="15" min="15" style="1" width="2.71"/>
    <col collapsed="false" customWidth="true" hidden="false" outlineLevel="0" max="16" min="16" style="1" width="2.42"/>
    <col collapsed="false" customWidth="true" hidden="false" outlineLevel="0" max="17" min="17" style="1" width="4.29"/>
    <col collapsed="false" customWidth="true" hidden="false" outlineLevel="0" max="18" min="18" style="1" width="12.29"/>
    <col collapsed="false" customWidth="true" hidden="false" outlineLevel="0" max="19" min="19" style="1" width="7.29"/>
    <col collapsed="false" customWidth="true" hidden="false" outlineLevel="0" max="20" min="20" style="1" width="4.43"/>
    <col collapsed="false" customWidth="true" hidden="false" outlineLevel="0" max="21" min="21" style="1" width="6.42"/>
    <col collapsed="false" customWidth="true" hidden="false" outlineLevel="0" max="23" min="22" style="1" width="3.29"/>
    <col collapsed="false" customWidth="true" hidden="false" outlineLevel="0" max="25" min="24" style="1" width="4.14"/>
    <col collapsed="false" customWidth="true" hidden="false" outlineLevel="0" max="26" min="26" style="1" width="4.71"/>
    <col collapsed="false" customWidth="true" hidden="false" outlineLevel="0" max="27" min="27" style="5" width="3.42"/>
    <col collapsed="false" customWidth="true" hidden="false" outlineLevel="0" max="28" min="28" style="9" width="17"/>
    <col collapsed="false" customWidth="true" hidden="false" outlineLevel="0" max="29" min="29" style="5" width="3.42"/>
    <col collapsed="false" customWidth="true" hidden="false" outlineLevel="0" max="30" min="30" style="5" width="5.43"/>
    <col collapsed="false" customWidth="true" hidden="false" outlineLevel="0" max="31" min="31" style="5" width="2.99"/>
    <col collapsed="false" customWidth="false" hidden="true" outlineLevel="0" max="48" min="32" style="10" width="10.71"/>
    <col collapsed="false" customWidth="true" hidden="true" outlineLevel="0" max="49" min="49" style="10" width="14.7"/>
    <col collapsed="false" customWidth="false" hidden="true" outlineLevel="0" max="81" min="50" style="10" width="10.71"/>
    <col collapsed="false" customWidth="true" hidden="true" outlineLevel="0" max="82" min="82" style="10" width="11.71"/>
    <col collapsed="false" customWidth="false" hidden="true" outlineLevel="0" max="86" min="83" style="10" width="10.71"/>
    <col collapsed="false" customWidth="false" hidden="true" outlineLevel="0" max="1025" min="87" style="11" width="10.71"/>
  </cols>
  <sheetData>
    <row r="1" customFormat="false" ht="24" hidden="false" customHeight="true" outlineLevel="0" collapsed="false">
      <c r="A1" s="12"/>
      <c r="B1" s="12"/>
      <c r="C1" s="12"/>
      <c r="D1" s="13"/>
      <c r="E1" s="14" t="s">
        <v>5</v>
      </c>
      <c r="F1" s="15"/>
      <c r="G1" s="16" t="s">
        <v>6</v>
      </c>
      <c r="H1" s="16"/>
      <c r="I1" s="17" t="s">
        <v>7</v>
      </c>
      <c r="J1" s="17"/>
      <c r="K1" s="17"/>
      <c r="L1" s="17"/>
      <c r="M1" s="17"/>
      <c r="N1" s="17"/>
      <c r="O1" s="15"/>
      <c r="P1" s="15"/>
      <c r="Q1" s="15"/>
      <c r="R1" s="15"/>
      <c r="S1" s="15"/>
      <c r="T1" s="15"/>
      <c r="U1" s="15"/>
      <c r="V1" s="15"/>
      <c r="W1" s="15"/>
      <c r="X1" s="15"/>
      <c r="Y1" s="15"/>
      <c r="Z1" s="15"/>
      <c r="AA1" s="15"/>
      <c r="AB1" s="15"/>
      <c r="AC1" s="15"/>
      <c r="AD1" s="15"/>
      <c r="AE1" s="15"/>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row>
    <row r="2" s="11" customFormat="true" ht="19.9" hidden="false" customHeight="true" outlineLevel="0" collapsed="false">
      <c r="A2" s="12"/>
      <c r="B2" s="12"/>
      <c r="C2" s="12"/>
      <c r="D2" s="15"/>
      <c r="E2" s="19"/>
      <c r="F2" s="19"/>
      <c r="G2" s="12" t="n">
        <f aca="false">IFERROR(VLOOKUP(G1,Horarios!L4:M60,2,0),10)</f>
        <v>9</v>
      </c>
      <c r="H2" s="19"/>
      <c r="I2" s="20"/>
      <c r="J2" s="19"/>
      <c r="K2" s="20"/>
      <c r="L2" s="20"/>
      <c r="M2" s="20"/>
      <c r="N2" s="20"/>
      <c r="O2" s="21"/>
      <c r="P2" s="21"/>
      <c r="Q2" s="21"/>
      <c r="R2" s="21"/>
      <c r="S2" s="21"/>
      <c r="T2" s="21"/>
      <c r="U2" s="21"/>
      <c r="V2" s="21"/>
      <c r="W2" s="21"/>
      <c r="X2" s="21"/>
      <c r="Y2" s="21"/>
      <c r="Z2" s="21"/>
      <c r="AA2" s="22"/>
      <c r="AB2" s="22"/>
      <c r="AC2" s="22"/>
      <c r="AD2" s="22"/>
      <c r="AE2" s="23"/>
      <c r="AF2" s="24"/>
      <c r="AH2" s="11" t="s">
        <v>8</v>
      </c>
      <c r="AV2" s="11" t="s">
        <v>9</v>
      </c>
      <c r="AW2" s="11" t="s">
        <v>10</v>
      </c>
      <c r="CH2" s="10"/>
      <c r="CT2" s="11" t="s">
        <v>11</v>
      </c>
    </row>
    <row r="3" s="11" customFormat="true" ht="15.75" hidden="false" customHeight="false" outlineLevel="0" collapsed="false">
      <c r="A3" s="12"/>
      <c r="B3" s="12"/>
      <c r="C3" s="12"/>
      <c r="D3" s="15"/>
      <c r="E3" s="25"/>
      <c r="F3" s="26" t="s">
        <v>12</v>
      </c>
      <c r="G3" s="26" t="s">
        <v>13</v>
      </c>
      <c r="H3" s="27" t="s">
        <v>14</v>
      </c>
      <c r="I3" s="28" t="s">
        <v>15</v>
      </c>
      <c r="J3" s="26"/>
      <c r="K3" s="29" t="s">
        <v>16</v>
      </c>
      <c r="L3" s="29" t="s">
        <v>16</v>
      </c>
      <c r="M3" s="29"/>
      <c r="N3" s="30" t="s">
        <v>17</v>
      </c>
      <c r="O3" s="21"/>
      <c r="P3" s="21"/>
      <c r="Q3" s="21"/>
      <c r="R3" s="21"/>
      <c r="S3" s="21"/>
      <c r="T3" s="21"/>
      <c r="U3" s="21"/>
      <c r="V3" s="21"/>
      <c r="W3" s="21"/>
      <c r="X3" s="21"/>
      <c r="Y3" s="21"/>
      <c r="Z3" s="21"/>
      <c r="AA3" s="22"/>
      <c r="AB3" s="22"/>
      <c r="AC3" s="22"/>
      <c r="AD3" s="22"/>
      <c r="AE3" s="23"/>
      <c r="AF3" s="24"/>
      <c r="AV3" s="11" t="s">
        <v>18</v>
      </c>
      <c r="AW3" s="31" t="n">
        <f aca="false">AW4*2</f>
        <v>2222000000</v>
      </c>
      <c r="CH3" s="10"/>
      <c r="CL3" s="24" t="n">
        <v>1</v>
      </c>
      <c r="CM3" s="24" t="n">
        <v>12</v>
      </c>
      <c r="CN3" s="24" t="n">
        <v>18</v>
      </c>
      <c r="CO3" s="24" t="n">
        <v>19</v>
      </c>
      <c r="CP3" s="24" t="n">
        <v>13</v>
      </c>
      <c r="CQ3" s="24" t="n">
        <v>20</v>
      </c>
      <c r="CR3" s="24" t="n">
        <v>21</v>
      </c>
      <c r="CS3" s="24" t="n">
        <v>22</v>
      </c>
      <c r="CT3" s="24" t="n">
        <v>3</v>
      </c>
      <c r="CU3" s="24" t="n">
        <v>2</v>
      </c>
      <c r="CV3" s="24" t="n">
        <v>14</v>
      </c>
      <c r="CW3" s="24" t="n">
        <v>17</v>
      </c>
      <c r="CX3" s="24" t="n">
        <v>16</v>
      </c>
      <c r="CY3" s="24" t="n">
        <v>15</v>
      </c>
      <c r="CZ3" s="24" t="n">
        <v>4</v>
      </c>
      <c r="DA3" s="24" t="n">
        <v>5</v>
      </c>
      <c r="DB3" s="24" t="n">
        <v>10</v>
      </c>
      <c r="DC3" s="24" t="n">
        <v>8</v>
      </c>
      <c r="DD3" s="24" t="n">
        <v>6</v>
      </c>
      <c r="DE3" s="24" t="n">
        <v>11</v>
      </c>
      <c r="DF3" s="24" t="n">
        <v>7</v>
      </c>
      <c r="DG3" s="24" t="n">
        <v>9</v>
      </c>
      <c r="DH3" s="24"/>
      <c r="DI3" s="24"/>
      <c r="EC3" s="10" t="s">
        <v>19</v>
      </c>
      <c r="ED3" s="10" t="s">
        <v>20</v>
      </c>
      <c r="EE3" s="10" t="s">
        <v>21</v>
      </c>
      <c r="EF3" s="10" t="s">
        <v>22</v>
      </c>
      <c r="EG3" s="10" t="s">
        <v>23</v>
      </c>
      <c r="EH3" s="10" t="s">
        <v>24</v>
      </c>
      <c r="EI3" s="10" t="s">
        <v>25</v>
      </c>
      <c r="EJ3" s="10" t="s">
        <v>26</v>
      </c>
      <c r="EK3" s="10" t="s">
        <v>27</v>
      </c>
      <c r="EL3" s="10" t="s">
        <v>28</v>
      </c>
    </row>
    <row r="4" s="11" customFormat="true" ht="15" hidden="false" customHeight="true" outlineLevel="0" collapsed="false">
      <c r="A4" s="32" t="s">
        <v>29</v>
      </c>
      <c r="B4" s="33" t="s">
        <v>30</v>
      </c>
      <c r="C4" s="34" t="n">
        <f aca="false">COUNTIF(Equipos!$C$2:$C$33,MUNDIAL!B4)</f>
        <v>4</v>
      </c>
      <c r="D4" s="35"/>
      <c r="E4" s="36" t="s">
        <v>30</v>
      </c>
      <c r="F4" s="37" t="n">
        <f aca="false">Horarios!C4</f>
        <v>44886.7916666667</v>
      </c>
      <c r="G4" s="38" t="n">
        <f aca="false">Horarios!C4</f>
        <v>44886.7916666667</v>
      </c>
      <c r="H4" s="37" t="s">
        <v>31</v>
      </c>
      <c r="I4" s="39" t="str">
        <f aca="false">A7</f>
        <v>Senegal</v>
      </c>
      <c r="J4" s="40" t="str">
        <f aca="false">VLOOKUP(I4,Equipos!$H$2:$I$33,2,0)</f>
        <v>🇸🇳</v>
      </c>
      <c r="K4" s="41" t="n">
        <v>0</v>
      </c>
      <c r="L4" s="41" t="n">
        <v>2</v>
      </c>
      <c r="M4" s="42" t="str">
        <f aca="false">VLOOKUP(N4,Equipos!$H$2:$I$33,2,0)</f>
        <v>🇳🇱</v>
      </c>
      <c r="N4" s="43" t="str">
        <f aca="false">A8</f>
        <v>Paises Bajos</v>
      </c>
      <c r="O4" s="44" t="n">
        <f aca="false">IF(NOT(OR(ISBLANK(K4),ISBLANK(L4))),1,0)</f>
        <v>1</v>
      </c>
      <c r="P4" s="45"/>
      <c r="Q4" s="46" t="str">
        <f aca="false">CONCATENATE("Grupo"," ",B4)</f>
        <v>Grupo A</v>
      </c>
      <c r="R4" s="46"/>
      <c r="S4" s="46"/>
      <c r="T4" s="46"/>
      <c r="U4" s="46"/>
      <c r="V4" s="46"/>
      <c r="W4" s="46"/>
      <c r="X4" s="46"/>
      <c r="Y4" s="46"/>
      <c r="Z4" s="46"/>
      <c r="AA4" s="47"/>
      <c r="AB4" s="48" t="s">
        <v>32</v>
      </c>
      <c r="AC4" s="48"/>
      <c r="AD4" s="48"/>
      <c r="AE4" s="23"/>
      <c r="AF4" s="24"/>
      <c r="AH4" s="11" t="str">
        <f aca="false">CONCATENATE("Auxiliar - ",Q4)</f>
        <v>Auxiliar - Grupo A</v>
      </c>
      <c r="AU4" s="11" t="s">
        <v>33</v>
      </c>
      <c r="AV4" s="11" t="s">
        <v>34</v>
      </c>
      <c r="AW4" s="31" t="n">
        <f aca="false">AW6*1111</f>
        <v>1111000000</v>
      </c>
      <c r="AY4" s="24" t="str">
        <f aca="false">CONCATENATE(Q4," - GOLAVERAGE")</f>
        <v>Grupo A - GOLAVERAGE</v>
      </c>
      <c r="BB4" s="11" t="s">
        <v>35</v>
      </c>
      <c r="BH4" s="11" t="s">
        <v>36</v>
      </c>
      <c r="BN4" s="11" t="s">
        <v>37</v>
      </c>
      <c r="BT4" s="10"/>
      <c r="BU4" s="10"/>
      <c r="BV4" s="10"/>
      <c r="BW4" s="10"/>
      <c r="BX4" s="10"/>
      <c r="BY4" s="10"/>
      <c r="BZ4" s="10"/>
      <c r="CA4" s="10"/>
      <c r="CB4" s="10"/>
      <c r="CC4" s="10"/>
      <c r="CD4" s="10"/>
      <c r="CE4" s="10"/>
      <c r="CF4" s="10"/>
      <c r="CG4" s="10"/>
      <c r="CH4" s="10"/>
      <c r="CI4" s="11" t="s">
        <v>38</v>
      </c>
      <c r="CK4" s="11" t="s">
        <v>39</v>
      </c>
      <c r="CL4" s="11" t="n">
        <f aca="false">SUM(CL6:CL9)</f>
        <v>0</v>
      </c>
      <c r="CM4" s="11" t="n">
        <f aca="false">SUM(CM6:CM9)</f>
        <v>0</v>
      </c>
      <c r="CN4" s="11" t="n">
        <f aca="false">SUM(CN6:CN9)</f>
        <v>0</v>
      </c>
      <c r="CO4" s="11" t="n">
        <f aca="false">SUM(CO6:CO9)</f>
        <v>2</v>
      </c>
      <c r="CP4" s="11" t="n">
        <f aca="false">SUM(CP6:CP9)</f>
        <v>0</v>
      </c>
      <c r="CQ4" s="11" t="n">
        <f aca="false">SUM(CQ6:CQ9)</f>
        <v>2</v>
      </c>
      <c r="CR4" s="11" t="n">
        <f aca="false">SUM(CR6:CR9)</f>
        <v>2</v>
      </c>
      <c r="CS4" s="11" t="n">
        <f aca="false">SUM(CS6:CS9)</f>
        <v>4</v>
      </c>
      <c r="CT4" s="11" t="n">
        <f aca="false">SUM(CT6:CT9)</f>
        <v>0</v>
      </c>
      <c r="CU4" s="11" t="n">
        <f aca="false">SUM(CU6:CU9)</f>
        <v>0</v>
      </c>
      <c r="CV4" s="11" t="n">
        <f aca="false">SUM(CV6:CV9)</f>
        <v>0</v>
      </c>
      <c r="CW4" s="11" t="n">
        <f aca="false">SUM(CW6:CW9)</f>
        <v>1</v>
      </c>
      <c r="CX4" s="11" t="n">
        <f aca="false">SUM(CX6:CX9)</f>
        <v>1</v>
      </c>
      <c r="CY4" s="11" t="n">
        <f aca="false">SUM(CY6:CY9)</f>
        <v>1</v>
      </c>
      <c r="CZ4" s="11" t="n">
        <f aca="false">SUM(CZ6:CZ9)</f>
        <v>0</v>
      </c>
      <c r="DA4" s="11" t="n">
        <f aca="false">SUM(DA6:DA9)</f>
        <v>0</v>
      </c>
      <c r="DB4" s="11" t="n">
        <f aca="false">SUM(DB6:DB9)</f>
        <v>0</v>
      </c>
      <c r="DC4" s="11" t="n">
        <f aca="false">SUM(DC6:DC9)</f>
        <v>0</v>
      </c>
      <c r="DD4" s="11" t="n">
        <f aca="false">SUM(DD6:DD9)</f>
        <v>0</v>
      </c>
      <c r="DE4" s="11" t="n">
        <f aca="false">SUM(DE6:DE9)</f>
        <v>0</v>
      </c>
      <c r="DF4" s="11" t="n">
        <f aca="false">SUM(DF6:DF9)</f>
        <v>0</v>
      </c>
      <c r="DG4" s="11" t="n">
        <f aca="false">SUM(DG6:DG9)</f>
        <v>0</v>
      </c>
      <c r="EC4" s="10" t="n">
        <v>1234</v>
      </c>
      <c r="ED4" s="10" t="n">
        <v>123</v>
      </c>
      <c r="EE4" s="10" t="n">
        <v>12</v>
      </c>
      <c r="EF4" s="10" t="n">
        <v>234</v>
      </c>
      <c r="EG4" s="10" t="n">
        <v>34</v>
      </c>
      <c r="EH4" s="10" t="n">
        <v>23</v>
      </c>
      <c r="EI4" s="10" t="n">
        <v>1</v>
      </c>
      <c r="EJ4" s="10" t="n">
        <v>2</v>
      </c>
      <c r="EK4" s="10" t="n">
        <v>3</v>
      </c>
      <c r="EL4" s="10" t="n">
        <v>4</v>
      </c>
    </row>
    <row r="5" customFormat="false" ht="15.75" hidden="false" customHeight="false" outlineLevel="0" collapsed="false">
      <c r="A5" s="32" t="str">
        <f aca="true" t="array" ref="A5:A5">IF(ROWS(A$5:A5)&lt;=$C$4,INDEX(INDIRECT(A$4),SMALL(IF(Nivell=$B$4,ROW(Nivell)-ROW(Equipos!$C$2)+1),ROWS(B$4:B4))),"")</f>
        <v>Catar</v>
      </c>
      <c r="B5" s="33"/>
      <c r="C5" s="33"/>
      <c r="D5" s="35"/>
      <c r="E5" s="36"/>
      <c r="F5" s="49" t="n">
        <f aca="false">Horarios!C5</f>
        <v>44885.7916666667</v>
      </c>
      <c r="G5" s="50" t="n">
        <f aca="false">Horarios!C5</f>
        <v>44885.7916666667</v>
      </c>
      <c r="H5" s="49" t="s">
        <v>31</v>
      </c>
      <c r="I5" s="51" t="str">
        <f aca="false">A5</f>
        <v>Catar</v>
      </c>
      <c r="J5" s="52" t="str">
        <f aca="false">VLOOKUP(I5,Equipos!$H$2:$I$33,2,0)</f>
        <v>🇶🇦</v>
      </c>
      <c r="K5" s="53" t="n">
        <v>0</v>
      </c>
      <c r="L5" s="53" t="n">
        <v>2</v>
      </c>
      <c r="M5" s="54" t="str">
        <f aca="false">VLOOKUP(N5,Equipos!$H$2:$I$33,2,0)</f>
        <v>🇪🇨</v>
      </c>
      <c r="N5" s="55" t="str">
        <f aca="false">A6</f>
        <v>Ecuador</v>
      </c>
      <c r="O5" s="44" t="n">
        <f aca="false">IF(NOT(OR(ISBLANK(K5),ISBLANK(L5))),1,0)</f>
        <v>1</v>
      </c>
      <c r="P5" s="45"/>
      <c r="Q5" s="56" t="s">
        <v>40</v>
      </c>
      <c r="R5" s="57" t="s">
        <v>41</v>
      </c>
      <c r="S5" s="58" t="s">
        <v>42</v>
      </c>
      <c r="T5" s="58" t="s">
        <v>43</v>
      </c>
      <c r="U5" s="58" t="s">
        <v>44</v>
      </c>
      <c r="V5" s="58" t="s">
        <v>45</v>
      </c>
      <c r="W5" s="58" t="s">
        <v>46</v>
      </c>
      <c r="X5" s="58" t="s">
        <v>47</v>
      </c>
      <c r="Y5" s="58" t="s">
        <v>48</v>
      </c>
      <c r="Z5" s="59" t="s">
        <v>49</v>
      </c>
      <c r="AA5" s="47" t="n">
        <f aca="false">COUNTIF(AA6:AA9,"&lt;100")</f>
        <v>0</v>
      </c>
      <c r="AB5" s="48"/>
      <c r="AC5" s="48"/>
      <c r="AD5" s="48"/>
      <c r="AE5" s="23"/>
      <c r="AF5" s="24"/>
      <c r="AG5" s="60" t="s">
        <v>33</v>
      </c>
      <c r="AH5" s="60" t="s">
        <v>50</v>
      </c>
      <c r="AI5" s="60" t="s">
        <v>51</v>
      </c>
      <c r="AJ5" s="60" t="s">
        <v>52</v>
      </c>
      <c r="AK5" s="60" t="s">
        <v>43</v>
      </c>
      <c r="AL5" s="60" t="s">
        <v>44</v>
      </c>
      <c r="AM5" s="60" t="s">
        <v>45</v>
      </c>
      <c r="AN5" s="60" t="s">
        <v>46</v>
      </c>
      <c r="AO5" s="60" t="s">
        <v>47</v>
      </c>
      <c r="AP5" s="60" t="s">
        <v>48</v>
      </c>
      <c r="AQ5" s="60" t="s">
        <v>53</v>
      </c>
      <c r="AR5" s="60" t="s">
        <v>54</v>
      </c>
      <c r="AS5" s="60" t="s">
        <v>50</v>
      </c>
      <c r="AT5" s="11"/>
      <c r="AU5" s="11"/>
      <c r="AV5" s="11" t="s">
        <v>55</v>
      </c>
      <c r="AW5" s="31" t="n">
        <f aca="false">AW6*5</f>
        <v>5000000</v>
      </c>
      <c r="AX5" s="11"/>
      <c r="AY5" s="60" t="s">
        <v>51</v>
      </c>
      <c r="AZ5" s="60" t="s">
        <v>56</v>
      </c>
      <c r="BA5" s="60" t="s">
        <v>57</v>
      </c>
      <c r="BB5" s="60" t="s">
        <v>58</v>
      </c>
      <c r="BC5" s="60" t="s">
        <v>59</v>
      </c>
      <c r="BD5" s="60" t="str">
        <f aca="false">AY6</f>
        <v>Catar</v>
      </c>
      <c r="BE5" s="60" t="str">
        <f aca="false">AY7</f>
        <v>Ecuador</v>
      </c>
      <c r="BF5" s="60" t="str">
        <f aca="false">AY8</f>
        <v>Senegal</v>
      </c>
      <c r="BG5" s="60" t="str">
        <f aca="false">AY9</f>
        <v>Paises Bajos</v>
      </c>
      <c r="BH5" s="60" t="s">
        <v>58</v>
      </c>
      <c r="BI5" s="60" t="s">
        <v>59</v>
      </c>
      <c r="BJ5" s="60" t="str">
        <f aca="false">BD5</f>
        <v>Catar</v>
      </c>
      <c r="BK5" s="60" t="str">
        <f aca="false">BE5</f>
        <v>Ecuador</v>
      </c>
      <c r="BL5" s="60" t="str">
        <f aca="false">BF5</f>
        <v>Senegal</v>
      </c>
      <c r="BM5" s="60" t="str">
        <f aca="false">BG5</f>
        <v>Paises Bajos</v>
      </c>
      <c r="BN5" s="60" t="s">
        <v>58</v>
      </c>
      <c r="BO5" s="60" t="s">
        <v>59</v>
      </c>
      <c r="BP5" s="60" t="str">
        <f aca="false">BD5</f>
        <v>Catar</v>
      </c>
      <c r="BQ5" s="60" t="str">
        <f aca="false">BE5</f>
        <v>Ecuador</v>
      </c>
      <c r="BR5" s="60" t="str">
        <f aca="false">BF5</f>
        <v>Senegal</v>
      </c>
      <c r="BS5" s="60" t="str">
        <f aca="false">BG5</f>
        <v>Paises Bajos</v>
      </c>
      <c r="BU5" s="61"/>
      <c r="BV5" s="61" t="s">
        <v>60</v>
      </c>
      <c r="BW5" s="61" t="s">
        <v>61</v>
      </c>
      <c r="BX5" s="61" t="s">
        <v>62</v>
      </c>
      <c r="BY5" s="61"/>
      <c r="CA5" s="61"/>
      <c r="CB5" s="61" t="s">
        <v>51</v>
      </c>
      <c r="CC5" s="61" t="s">
        <v>52</v>
      </c>
      <c r="CD5" s="61" t="s">
        <v>63</v>
      </c>
      <c r="CE5" s="61" t="s">
        <v>53</v>
      </c>
      <c r="CF5" s="61" t="s">
        <v>64</v>
      </c>
      <c r="CG5" s="61"/>
      <c r="CK5" s="11" t="s">
        <v>65</v>
      </c>
      <c r="CL5" s="11" t="s">
        <v>66</v>
      </c>
      <c r="CM5" s="11" t="s">
        <v>67</v>
      </c>
      <c r="CN5" s="11" t="s">
        <v>68</v>
      </c>
      <c r="CO5" s="11" t="s">
        <v>69</v>
      </c>
      <c r="CP5" s="11" t="s">
        <v>70</v>
      </c>
      <c r="CQ5" s="11" t="s">
        <v>71</v>
      </c>
      <c r="CR5" s="11" t="s">
        <v>72</v>
      </c>
      <c r="CS5" s="11" t="s">
        <v>73</v>
      </c>
      <c r="CT5" s="11" t="s">
        <v>68</v>
      </c>
      <c r="CU5" s="11" t="s">
        <v>68</v>
      </c>
      <c r="CV5" s="11" t="s">
        <v>69</v>
      </c>
      <c r="CW5" s="11" t="s">
        <v>72</v>
      </c>
      <c r="CX5" s="11" t="s">
        <v>71</v>
      </c>
      <c r="CY5" s="11" t="s">
        <v>71</v>
      </c>
      <c r="CZ5" s="11" t="s">
        <v>70</v>
      </c>
      <c r="DA5" s="11" t="s">
        <v>67</v>
      </c>
      <c r="DB5" s="11" t="s">
        <v>72</v>
      </c>
      <c r="DC5" s="11" t="s">
        <v>71</v>
      </c>
      <c r="DD5" s="11" t="s">
        <v>69</v>
      </c>
      <c r="DE5" s="11" t="s">
        <v>72</v>
      </c>
      <c r="DF5" s="11" t="s">
        <v>69</v>
      </c>
      <c r="DG5" s="11" t="s">
        <v>71</v>
      </c>
      <c r="EC5" s="10" t="n">
        <v>1</v>
      </c>
      <c r="ED5" s="10" t="n">
        <v>1</v>
      </c>
      <c r="EE5" s="10" t="n">
        <v>1</v>
      </c>
      <c r="EF5" s="10" t="n">
        <v>2</v>
      </c>
      <c r="EG5" s="10" t="n">
        <v>3</v>
      </c>
      <c r="EH5" s="10" t="n">
        <v>2</v>
      </c>
      <c r="EI5" s="10" t="n">
        <v>1</v>
      </c>
      <c r="EJ5" s="10" t="n">
        <v>2</v>
      </c>
      <c r="EK5" s="10" t="n">
        <v>3</v>
      </c>
      <c r="EL5" s="10" t="n">
        <v>4</v>
      </c>
      <c r="FI5" s="60"/>
      <c r="FK5" s="60"/>
      <c r="FM5" s="60"/>
    </row>
    <row r="6" customFormat="false" ht="15" hidden="false" customHeight="false" outlineLevel="0" collapsed="false">
      <c r="A6" s="32" t="str">
        <f aca="true" t="array" ref="A6:A6">IF(ROWS(A$5:A6)&lt;=$C$4,INDEX(INDIRECT(A$4),SMALL(IF(Nivell=$B$4,ROW(Nivell)-ROW(Equipos!$C$2)+1),ROWS(B$4:B5))),"")</f>
        <v>Ecuador</v>
      </c>
      <c r="B6" s="33"/>
      <c r="C6" s="62"/>
      <c r="D6" s="35"/>
      <c r="E6" s="36"/>
      <c r="F6" s="49" t="n">
        <f aca="false">Horarios!C6</f>
        <v>44890.6666666667</v>
      </c>
      <c r="G6" s="50" t="n">
        <f aca="false">Horarios!C6</f>
        <v>44890.6666666667</v>
      </c>
      <c r="H6" s="49" t="s">
        <v>74</v>
      </c>
      <c r="I6" s="51" t="str">
        <f aca="false">A5</f>
        <v>Catar</v>
      </c>
      <c r="J6" s="52" t="str">
        <f aca="false">VLOOKUP(I6,Equipos!$H$2:$I$33,2,0)</f>
        <v>🇶🇦</v>
      </c>
      <c r="K6" s="53" t="n">
        <v>1</v>
      </c>
      <c r="L6" s="53" t="n">
        <v>3</v>
      </c>
      <c r="M6" s="54" t="str">
        <f aca="false">VLOOKUP(N6,Equipos!$H$2:$I$33,2,0)</f>
        <v>🇸🇳</v>
      </c>
      <c r="N6" s="55" t="str">
        <f aca="false">A7</f>
        <v>Senegal</v>
      </c>
      <c r="O6" s="44" t="n">
        <f aca="false">IF(NOT(OR(ISBLANK(K6),ISBLANK(L6))),1,0)</f>
        <v>1</v>
      </c>
      <c r="P6" s="45"/>
      <c r="Q6" s="63" t="n">
        <v>1</v>
      </c>
      <c r="R6" s="64" t="str">
        <f aca="false">VLOOKUP(Q6,$AG$6:$AI$9,3,0)</f>
        <v>Paises Bajos</v>
      </c>
      <c r="S6" s="65" t="n">
        <f aca="false">VLOOKUP(R6,$AI$6:$AR$9,2,0)</f>
        <v>7</v>
      </c>
      <c r="T6" s="65" t="n">
        <f aca="false">VLOOKUP($R6,$AI$6:$AR$9,3,0)</f>
        <v>3</v>
      </c>
      <c r="U6" s="65" t="n">
        <f aca="false">VLOOKUP($R6,$AI$6:$AR$9,4,0)</f>
        <v>2</v>
      </c>
      <c r="V6" s="65" t="n">
        <f aca="false">VLOOKUP($R6,$AI$6:$AR$9,5,0)</f>
        <v>1</v>
      </c>
      <c r="W6" s="65" t="n">
        <f aca="false">VLOOKUP($R6,$AI$6:$AR$9,6,0)</f>
        <v>0</v>
      </c>
      <c r="X6" s="65" t="n">
        <f aca="false">VLOOKUP($R6,$AI$6:$AR$9,7,0)</f>
        <v>5</v>
      </c>
      <c r="Y6" s="65" t="n">
        <f aca="false">VLOOKUP($R6,$AI$6:$AR$9,8,0)</f>
        <v>1</v>
      </c>
      <c r="Z6" s="66" t="n">
        <f aca="false">VLOOKUP($R6,$AI$6:$AR$9,9,0)</f>
        <v>4</v>
      </c>
      <c r="AA6" s="67" t="n">
        <f aca="false">IF(SUM($AK$6:$AK$9)=12,MIN(ABS(BY5-BY6),ABS(BY6-BY7)),100)</f>
        <v>1125999999.99</v>
      </c>
      <c r="AB6" s="68" t="str">
        <f aca="false">IF(AND(AA6&gt;=0,AA6&lt;90),VLOOKUP(Q6,$BU$6:$BV$9,2,0),"")</f>
        <v/>
      </c>
      <c r="AC6" s="69"/>
      <c r="AD6" s="70"/>
      <c r="AE6" s="71"/>
      <c r="AF6" s="24" t="n">
        <f aca="false">VLOOKUP($R6,$AI$6:$AR$9,10,0)</f>
        <v>7802210499.96</v>
      </c>
      <c r="AG6" s="11" t="n">
        <f aca="false">RANK(AU6,$AU$6:$AU$9)</f>
        <v>4</v>
      </c>
      <c r="AH6" s="11" t="n">
        <f aca="false">RANK(AR6,$AR$6:$AR$9)</f>
        <v>4</v>
      </c>
      <c r="AI6" s="10" t="str">
        <f aca="false">A5</f>
        <v>Catar</v>
      </c>
      <c r="AJ6" s="11" t="n">
        <f aca="false">AL6*3+AM6*1+AN6*0</f>
        <v>0</v>
      </c>
      <c r="AK6" s="11" t="n">
        <f aca="false">COUNTIFS($I$4:$I$65,AI6,$K$4:$K$65,"&lt;&gt;",$L$4:$L$65,"&lt;&gt;")+COUNTIFS($N$4:$N$65,AI6,$L$4:$L$65,"&lt;&gt;",$K$4:$K$65,"&lt;&gt;")</f>
        <v>3</v>
      </c>
      <c r="AL6" s="11" t="n">
        <f aca="false" t="array" ref="AL6:AL6">SUM(($I$4:$I$65=AI6)*($K$4:$K$65&lt;&gt;"")*($L$4:$L$65&lt;&gt;"")*($K$4:$K$65&gt;$L$4:$L$65),($N$4:$N$65=AI6)*($K$4:$K$65&lt;&gt;"")*($L$4:$L$65&lt;&gt;"")*($K$4:$K$65&lt;$L$4:$L$65))</f>
        <v>0</v>
      </c>
      <c r="AM6" s="11" t="n">
        <f aca="false" t="array" ref="AM6:AM6">SUM(($I$4:$I$65=AI6)*($K$4:$K$65&lt;&gt;"")*($L$4:$L$65&lt;&gt;"")*($K$4:$K$65=$L$4:$L$65),($N$4:$N$65=AI6)*($K$4:$K$65&lt;&gt;"")*($L$4:$L$65&lt;&gt;"")*($K$4:$K$65=$L$4:$L$65))</f>
        <v>0</v>
      </c>
      <c r="AN6" s="11" t="n">
        <f aca="false" t="array" ref="AN6:AN6">SUM(($I$4:$I$65=AI6)*($L$4:$L$65&lt;&gt;"")*($K$4:$K$65&lt;&gt;"")*($K$4:$K$65&lt;$L$4:$L$65),($K$4:$K$65&lt;&gt;"")*($N$4:$N$65=AI6)*($L$4:$L$65&lt;&gt;"")*($K$4:$K$65&gt;$L$4:$L$65))</f>
        <v>3</v>
      </c>
      <c r="AO6" s="11" t="n">
        <f aca="false" t="array" ref="AO6:AO6">SUMIFS($K$4:$K$65,$I$4:$I$65,AI6,$K$4:$K$65,"&lt;&gt;",$L$4:$L$65,"&lt;&gt;")+SUMIFS($L$4:$L$65,$N$4:$N$65,AI6,$K$4:$K$65,"&lt;&gt;",$L$4:$L$65,"&lt;&gt;")</f>
        <v>1</v>
      </c>
      <c r="AP6" s="11" t="n">
        <f aca="false" t="array" ref="AP6:AP6">SUMIFS($K$4:$K$65,$N$4:$N$65,AI6,$K$4:$K$65,"&lt;&gt;",$L$4:$L$65,"&lt;&gt;")+SUMIFS($L$4:$L$65,$I$4:$I$65,AI6,$K$4:$K$65,"&lt;&gt;",$L$4:$L$65,"&lt;&gt;")</f>
        <v>7</v>
      </c>
      <c r="AQ6" s="11" t="n">
        <f aca="false">AO6-AP6</f>
        <v>-6</v>
      </c>
      <c r="AR6" s="11" t="n">
        <f aca="false">IF(AK6=0,-($AW$11*VLOOKUP(AI6,Tabla3[[NombreEquipo]:[Rank]],3,0)),AJ6*$AW$4+AQ6*$AW$5+AO6*$AW$6+BA6-($AW$11*VLOOKUP(AI6,Tabla3[[NombreEquipo]:[Rank]],3,0)/100))</f>
        <v>-28789500.01</v>
      </c>
      <c r="AS6" s="11" t="n">
        <f aca="false">AH6</f>
        <v>4</v>
      </c>
      <c r="AT6" s="11"/>
      <c r="AU6" s="11" t="n">
        <f aca="false">IFERROR(AR6-VLOOKUP(AI6,$AB$6:$AC$9,2,0),AR6)</f>
        <v>-28789500.01</v>
      </c>
      <c r="AV6" s="11" t="s">
        <v>75</v>
      </c>
      <c r="AW6" s="31" t="n">
        <f aca="false">AW7*5</f>
        <v>1000000</v>
      </c>
      <c r="AX6" s="11"/>
      <c r="AY6" s="72" t="str">
        <f aca="false">AI6</f>
        <v>Catar</v>
      </c>
      <c r="AZ6" s="11" t="n">
        <f aca="false">COUNTIF(AJ6:AJ9,AJ6)</f>
        <v>1</v>
      </c>
      <c r="BA6" s="11" t="n">
        <f aca="false">(BB6*$AW$9)+(BH6*$AW$8)+(BN6*$AW$7)</f>
        <v>210500</v>
      </c>
      <c r="BB6" s="73" t="n">
        <f aca="false">RANK(BC6,BC6:BC9,1)</f>
        <v>1</v>
      </c>
      <c r="BC6" s="73" t="n">
        <f aca="false">SUM(IF(AND(AJ6=AJ7,AQ6=AQ7,AO6=AO7),BE6,0),IF(AND(AJ6=AJ8,AQ6=AQ8,AO6=AO8),BF6,0),IF(AND(AJ6=AJ9,AQ6=AQ9,AO6=AO9),BG6,0))</f>
        <v>0</v>
      </c>
      <c r="BD6" s="73" t="n">
        <v>0</v>
      </c>
      <c r="BE6" s="73" t="n">
        <f aca="false" t="array" ref="BE6:BE6">SUMIFS($K$4:$K$9,$I$4:$I$9,$AY6,$K$4:$K$9,"&lt;&gt;",$L$4:$L$9,"&lt;&gt;",$N$4:$N$9,BE5)+SUMIFS($L$4:$L$9,$I$4:$I$9,BE5,$K$4:$K$9,"&lt;&gt;",$L$4:$L$9,"&lt;&gt;",$N$4:$N$9,$AY6)</f>
        <v>0</v>
      </c>
      <c r="BF6" s="73" t="n">
        <f aca="false" t="array" ref="BF6:BF6">SUMIFS($K$4:$K$9,$I$4:$I$9,$AY6,$K$4:$K$9,"&lt;&gt;",$L$4:$L$9,"&lt;&gt;",$N$4:$N$9,BF5)+SUMIFS($L$4:$L$9,$I$4:$I$9,BF5,$K$4:$K$9,"&lt;&gt;",$L$4:$L$9,"&lt;&gt;",$N$4:$N$9,$AY6)</f>
        <v>1</v>
      </c>
      <c r="BG6" s="73" t="n">
        <f aca="false" t="array" ref="BG6:BG6">SUMIFS($K$4:$K$9,$I$4:$I$9,$AY6,$K$4:$K$9,"&lt;&gt;",$L$4:$L$9,"&lt;&gt;",$N$4:$N$9,BG5)+SUMIFS($L$4:$L$9,$I$4:$I$9,BG5,$K$4:$K$9,"&lt;&gt;",$L$4:$L$9,"&lt;&gt;",$N$4:$N$9,$AY6)</f>
        <v>0</v>
      </c>
      <c r="BH6" s="73" t="n">
        <f aca="false">RANK(BI6,BI6:BI9,1)</f>
        <v>1</v>
      </c>
      <c r="BI6" s="73" t="n">
        <f aca="false">SUM(IF(AND(AJ6=AJ7,AQ6=AQ7,AO6=AO7),BK6,0),IF(AND(AJ6=AJ8,AQ6=AQ8,AO6=AO8),BL6,0),IF(AND(AJ6=AJ9,AQ6=AQ9,AO6=AO9),BM6,0))</f>
        <v>0</v>
      </c>
      <c r="BJ6" s="73" t="n">
        <v>0</v>
      </c>
      <c r="BK6" s="73" t="n">
        <f aca="false">BE6-BD7</f>
        <v>-2</v>
      </c>
      <c r="BL6" s="73" t="n">
        <f aca="false">BF6-BD8</f>
        <v>-2</v>
      </c>
      <c r="BM6" s="73" t="n">
        <f aca="false">BG6-BD9</f>
        <v>-2</v>
      </c>
      <c r="BN6" s="73" t="n">
        <f aca="false">RANK(BO6,BO6:BO9,1)</f>
        <v>1</v>
      </c>
      <c r="BO6" s="73" t="n">
        <f aca="false">SUM(IF(AND(AJ6=AJ7,AQ6=AQ7,AO6=AO7),BQ6,0),IF(AND(AJ6=AJ8,AQ6=AQ8,AO6=AO8),BR6,0),IF(AND(AJ6=AJ9,AQ6=AQ9,AO6=AO9),BS6,0))</f>
        <v>0</v>
      </c>
      <c r="BP6" s="73" t="n">
        <v>0</v>
      </c>
      <c r="BQ6" s="73" t="n">
        <f aca="false" t="array" ref="BQ6:BQ6">SUM((I$4:I$49=AY6)*(N$4:N$49=BQ5)*(K$4:K$49&lt;&gt;"")*(L$4:L$49&lt;&gt;"")*(K$4:K$49&gt;L$4:L$49)*3,(N$4:N$49=AY6)*(I$4:I$49=BQ5)*(K$4:K$49&lt;&gt;"")*(L$4:L$49&lt;&gt;"")*(K$4:K$49=L$4:L$49)*1,(N$4:N$49=AY6)*(I$4:I$49=BQ5)*(K$4:K$49&lt;&gt;"")*(L$4:L$49&lt;&gt;"")*(K$4:K$49&lt;L$4:L$49)*3,(I$4:I$49=AY6)*(N$4:N$49=BQ5)*(K$4:K$49&lt;&gt;"")*(L$4:L$49&lt;&gt;"")*(K$4:K$49=L$4:L$49)*1)</f>
        <v>0</v>
      </c>
      <c r="BR6" s="73" t="n">
        <f aca="false" t="array" ref="BR6:BR6">SUM((I$4:I$49=AY6)*(N$4:N$49=BR5)*(K$4:K$49&lt;&gt;"")*(L$4:L$49&lt;&gt;"")*(K$4:K$49&gt;L$4:L$49)*3,(N$4:N$49=AY6)*(I$4:I$49=BR5)*(K$4:K$49&lt;&gt;"")*(L$4:L$49&lt;&gt;"")*(K$4:K$49=L$4:L$49)*1,(N$4:N$49=AY6)*(I$4:I$49=BR5)*(K$4:K$49&lt;&gt;"")*(L$4:L$49&lt;&gt;"")*(K$4:K$49&lt;L$4:L$49)*3,(I$4:I$49=AY6)*(N$4:N$49=BR5)*(K$4:K$49&lt;&gt;"")*(L$4:L$49&lt;&gt;"")*(K$4:K$49=L$4:L$49)*1)</f>
        <v>0</v>
      </c>
      <c r="BS6" s="73" t="n">
        <f aca="false" t="array" ref="BS6:BS6">SUM((I$4:I$49=AY6)*(N$4:N$49=BS5)*(K$4:K$49&lt;&gt;"")*(L$4:L$49&lt;&gt;"")*(K$4:K$49&gt;L$4:L$49)*3,(N$4:N$49=AY6)*(I$4:I$49=BS5)*(K$4:K$49&lt;&gt;"")*(L$4:L$49&lt;&gt;"")*(K$4:K$49=L$4:L$49)*1,(N$4:N$49=AY6)*(I$4:I$49=BS5)*(K$4:K$49&lt;&gt;"")*(L$4:L$49&lt;&gt;"")*(K$4:K$49&lt;L$4:L$49)*3,(I$4:I$49=AY6)*(N$4:N$49=BS5)*(K$4:K$49&lt;&gt;"")*(L$4:L$49&lt;&gt;"")*(K$4:K$49=L$4:L$49)*1)</f>
        <v>0</v>
      </c>
      <c r="BT6" s="10" t="n">
        <v>1</v>
      </c>
      <c r="BU6" s="10" t="n">
        <f aca="false">RANK(BW6,$BW$6:$BW$9)</f>
        <v>4</v>
      </c>
      <c r="BV6" s="10" t="str">
        <f aca="false">A5</f>
        <v>Catar</v>
      </c>
      <c r="BW6" s="10" t="n">
        <f aca="false">IF(AK6=0,-($AW$11*VLOOKUP(AI6,Tabla3[[NombreEquipo]:[Rank]],3,0)),AJ6*$AW$4+BA6+AQ6*$AW$8+AO6*$AW$9+AL6*$AW$10-($AW$11*VLOOKUP(AI6,Tabla3[[NombreEquipo]:[Rank]],3,0)/100))</f>
        <v>150999.99</v>
      </c>
      <c r="BX6" s="10" t="str">
        <f aca="false">VLOOKUP(Q6,$AH$6:$AI$9,2,0)</f>
        <v>Paises Bajos</v>
      </c>
      <c r="BY6" s="10" t="n">
        <f aca="false">VLOOKUP($BX6,$AI$6:$AR$9,10,0)</f>
        <v>7802210499.96</v>
      </c>
      <c r="CA6" s="10" t="n">
        <v>1</v>
      </c>
      <c r="CB6" s="10" t="str">
        <f aca="false">VLOOKUP(CA6,$AH$6:$AI$9,2,0)</f>
        <v>Paises Bajos</v>
      </c>
      <c r="CC6" s="10" t="n">
        <f aca="false">VLOOKUP(CB6,$AI$6:$AR$9,2,0)</f>
        <v>7</v>
      </c>
      <c r="CD6" s="74" t="n">
        <f aca="false">IF(SUM($AK$6:$AK$9)=12,MIN(ABS(BY5-BY6),ABS(BY6-BY7)),100)</f>
        <v>1125999999.99</v>
      </c>
      <c r="CE6" s="10" t="n">
        <f aca="false">VLOOKUP($CB6,$AI$6:$AR$9,9,0)</f>
        <v>4</v>
      </c>
      <c r="CF6" s="10" t="n">
        <f aca="false">VLOOKUP($CB6,$AI$6:$AR$9,7,0)</f>
        <v>5</v>
      </c>
      <c r="CH6" s="10" t="n">
        <f aca="false" t="array" ref="CH6:CH6">IF($CI$6=$CL$5,$EC$5:$EC$8,IF($CI$6=$CM$5,$ED$5:$ED$7,IF(OR($CI$6=$CN$5,$CI$6=$CO$5),$EE$5:$EE$6,$EI$5)))</f>
        <v>1</v>
      </c>
      <c r="CI6" s="11" t="str">
        <f aca="false">IFERROR(HLOOKUP(4,CL4:DI5,2,0),CS5)</f>
        <v>COM_8</v>
      </c>
      <c r="CK6" s="11" t="n">
        <v>1</v>
      </c>
      <c r="CL6" s="11" t="n">
        <f aca="false" t="array" ref="CL6:CL6">IF(AND($CC$6:$CC$9=$CC$6,$CD$6:$CD$9&lt;90,$AQ$6:$AQ$9=$AQ$6,$CF$6:$CF$9=$CF$6),1,0)</f>
        <v>0</v>
      </c>
      <c r="CM6" s="11" t="n">
        <f aca="false" t="array" ref="CM6:CM6">IF(AND($CC$6:$CC$8=$CC$6,$CD$6:$CD$8&lt;90,$CC$6&lt;&gt;$CC$9),1,0)</f>
        <v>0</v>
      </c>
      <c r="CN6" s="11" t="n">
        <f aca="false" t="array" ref="CN6:CN6">IF(AND($CC$6:$CC$7=$CC$6,$CD$6:$CD$7&lt;90,$CC$6&lt;&gt;$CC$8),1,0)</f>
        <v>0</v>
      </c>
      <c r="CO6" s="11" t="n">
        <f aca="false" t="array" ref="CO6:CO6">IF(AND($CC$6:$CC$7=$CC$6,$CD$6:$CD$7&lt;90,$CC$6&lt;&gt;$CC$8),1,0)</f>
        <v>0</v>
      </c>
      <c r="CP6" s="11" t="n">
        <f aca="false" t="array" ref="CP6:CP6">IF(AND($CC$7:$CC$9=$CC$7,$CD$7:$CD$9&lt;90,$CC$6&lt;&gt;$CC$7),1,0)</f>
        <v>0</v>
      </c>
      <c r="CQ6" s="11" t="n">
        <f aca="false" t="array" ref="CQ6:CQ6">IF(AND($CC$6&lt;&gt;$CC$7,$CC$6&lt;&gt;$CC$9),1,0)</f>
        <v>1</v>
      </c>
      <c r="CR6" s="11" t="n">
        <f aca="false" t="array" ref="CR6:CR6">IF(AND($CC$6&lt;&gt;$CC$7,$CC$6&lt;&gt;$CC$9),1,0)</f>
        <v>1</v>
      </c>
      <c r="CS6" s="11" t="n">
        <f aca="false" t="array" ref="CS6:CS6">IF(AND($CC$6&lt;&gt;$CC$7,$CC$6&lt;&gt;$CC$9),1,0)</f>
        <v>1</v>
      </c>
      <c r="CT6" s="11" t="n">
        <f aca="false" t="array" ref="CT6:CT6">IF(AND($CC$6:$CC$9=$CC$6,$CD$6:$CD$9&lt;90,$CE$6:$CE$7=$CE$6,$CE$6&lt;&gt;$CE$8),1,0)</f>
        <v>0</v>
      </c>
      <c r="CU6" s="11" t="n">
        <f aca="false" t="array" ref="CU6:CU6">IF(AND($CC$6:$CC$9=$CC$6,$CD$6:$CD$9&lt;90,$CE$6:$CE$9=$CE$6,$CF$6=$CF$7,$CF$6&lt;&gt;$CF$8),1,0)</f>
        <v>0</v>
      </c>
      <c r="CV6" s="11" t="n">
        <f aca="false" t="array" ref="CV6:CV6">IF(AND($CC$6:$CC$8=$CC$6,$CD$6:$CD$7&lt;90,$CD$8&gt;90),1,0)</f>
        <v>0</v>
      </c>
      <c r="CW6" s="11" t="n">
        <f aca="false" t="array" ref="CW6:CW6">IF(AND($CC$6&lt;&gt;$CC$7,$CC$6&lt;&gt;$CC$8),1,0)</f>
        <v>1</v>
      </c>
      <c r="CX6" s="11" t="n">
        <f aca="false" t="array" ref="CX6:CX6">IF(AND($CC$6&lt;&gt;$CC$7,$CC$6&lt;&gt;$CC$8),1,0)</f>
        <v>1</v>
      </c>
      <c r="CY6" s="11" t="n">
        <f aca="false" t="array" ref="CY6:CY6">IF(AND($CC$6&lt;&gt;$CC$9,$CC$6:$CC$8=$CC$6,$CD$6&gt;90,$CD$7:$CD$8&lt;90),1,0)</f>
        <v>0</v>
      </c>
      <c r="CZ6" s="11" t="n">
        <f aca="false" t="array" ref="CZ6:CZ6">IF(AND($CC$6:$CC$9=$CC$6,$CD$7:$CD$9&lt;90,$CD$6&lt;&gt;$CD$7),1,0)</f>
        <v>0</v>
      </c>
      <c r="DA6" s="11" t="n">
        <f aca="false" t="array" ref="DA6:DA6">IF(AND($CC$6:$CC$9=$CC$6,$CD$6:$CD$8&lt;90,$CD$6&lt;&gt;$CD$9),1,0)</f>
        <v>0</v>
      </c>
      <c r="DB6" s="11" t="n">
        <f aca="false" t="array" ref="DB6:DB6">IF(AND($CC$6:$CC$9=$CC$6,$CD$6:$CD$7&gt;90,$CD$8:$CD$9&lt;90,$CE$6:$CE$9=$CE$6,$CF$6&gt;$CF$7,$CF$6&gt;$CF$8,$CF$6&gt;$CF$9),1,0)</f>
        <v>0</v>
      </c>
      <c r="DC6" s="11" t="n">
        <f aca="false" t="array" ref="DC6:DC6">IF(AND($CC$6:$CC$9=$CC$6,$CD$6&gt;90,$CD$7:$CD$8&lt;90,$CD$9&gt;90,$CE$6:$CE$9=$CE$6,$CF$6&gt;$CF$7,$CF$6&gt;$CF$8,$CF$6&gt;$CF$9),1,0)</f>
        <v>0</v>
      </c>
      <c r="DD6" s="11" t="n">
        <f aca="false" t="array" ref="DD6:DD6">IF(AND($CC$6:$CC$9=$CC$6,$CD$6:$CD$7&lt;90,$CD$8:$CD$9&gt;90,$CE$6:$CE$9=$CE$6,$CF$6=$CF$7,$CF$6&gt;$CF$8,$CF$6&gt;$CF$9),1,0)</f>
        <v>0</v>
      </c>
      <c r="DE6" s="11" t="n">
        <f aca="false" t="array" ref="DE6:DE6">IF(AND($CC$6:$CC$9=$CC$6,$CD$6:$CD$7&gt;90,$CD$8:$CD$9&lt;90,$CE$6:$CE$9=$CE$6,$CF$6&gt;$CF$7,$CF$7:$CF$9=$CF$7),1,0)</f>
        <v>0</v>
      </c>
      <c r="DF6" s="11" t="n">
        <f aca="false" t="array" ref="DF6:DF6">IF(AND($CC$6:$CC$9=$CC$6,$CD$6:$CD$7&lt;90,$CD$8:$CD$9&gt;90,$CE$6:$CE$9=$CE$6,$CF$6:$CF$8=$CF$6,$CF$6&gt;$CF$9),1,0)</f>
        <v>0</v>
      </c>
      <c r="DG6" s="11" t="n">
        <f aca="false" t="array" ref="DG6:DG6">IF(AND($CC$6:$CC$9=$CC$6,$CD$6&gt;90,$CD$9&gt;90,$CD$7:$CD$8&lt;90,$CE$6:$CE$9=$CE$6,$CF$6&gt;$CF$7:$CF$9),1,0)</f>
        <v>0</v>
      </c>
      <c r="EC6" s="10" t="n">
        <v>2</v>
      </c>
      <c r="ED6" s="10" t="n">
        <v>2</v>
      </c>
      <c r="EE6" s="10" t="n">
        <v>2</v>
      </c>
      <c r="EF6" s="10" t="n">
        <v>3</v>
      </c>
      <c r="EG6" s="10" t="n">
        <v>4</v>
      </c>
      <c r="EH6" s="10" t="n">
        <v>3</v>
      </c>
      <c r="EI6" s="10"/>
      <c r="EJ6" s="10"/>
      <c r="EK6" s="10"/>
      <c r="EL6" s="10"/>
      <c r="FI6" s="73"/>
      <c r="FK6" s="73"/>
      <c r="FM6" s="73"/>
    </row>
    <row r="7" customFormat="false" ht="15" hidden="false" customHeight="false" outlineLevel="0" collapsed="false">
      <c r="A7" s="32" t="str">
        <f aca="true" t="array" ref="A7:A7">IF(ROWS(A$5:A7)&lt;=$C$4,INDEX(INDIRECT(A$4),SMALL(IF(Nivell=$B$4,ROW(Nivell)-ROW(Equipos!$C$2)+1),ROWS(B$4:B6))),"")</f>
        <v>Senegal</v>
      </c>
      <c r="B7" s="33"/>
      <c r="C7" s="75"/>
      <c r="D7" s="35"/>
      <c r="E7" s="36"/>
      <c r="F7" s="49" t="n">
        <f aca="false">Horarios!C7</f>
        <v>44890.7916666667</v>
      </c>
      <c r="G7" s="50" t="n">
        <f aca="false">Horarios!C7</f>
        <v>44890.7916666667</v>
      </c>
      <c r="H7" s="49" t="s">
        <v>74</v>
      </c>
      <c r="I7" s="51" t="str">
        <f aca="false">A8</f>
        <v>Paises Bajos</v>
      </c>
      <c r="J7" s="52" t="str">
        <f aca="false">VLOOKUP(I7,Equipos!$H$2:$I$33,2,0)</f>
        <v>🇳🇱</v>
      </c>
      <c r="K7" s="53" t="n">
        <v>1</v>
      </c>
      <c r="L7" s="53" t="n">
        <v>1</v>
      </c>
      <c r="M7" s="54" t="str">
        <f aca="false">VLOOKUP(N7,Equipos!$H$2:$I$33,2,0)</f>
        <v>🇪🇨</v>
      </c>
      <c r="N7" s="55" t="str">
        <f aca="false">A6</f>
        <v>Ecuador</v>
      </c>
      <c r="O7" s="44" t="n">
        <f aca="false">IF(NOT(OR(ISBLANK(K7),ISBLANK(L7))),1,0)</f>
        <v>1</v>
      </c>
      <c r="P7" s="45"/>
      <c r="Q7" s="76" t="n">
        <v>2</v>
      </c>
      <c r="R7" s="77" t="str">
        <f aca="false">VLOOKUP(Q7,$AG$6:$AI$9,3,0)</f>
        <v>Senegal</v>
      </c>
      <c r="S7" s="78" t="n">
        <f aca="false">VLOOKUP(R7,$AI$6:$AR$9,2,0)</f>
        <v>6</v>
      </c>
      <c r="T7" s="78" t="n">
        <f aca="false">VLOOKUP($R7,$AI$6:$AR$9,3,0)</f>
        <v>3</v>
      </c>
      <c r="U7" s="78" t="n">
        <f aca="false">VLOOKUP($R7,$AI$6:$AR$9,4,0)</f>
        <v>2</v>
      </c>
      <c r="V7" s="78" t="n">
        <f aca="false">VLOOKUP($R7,$AI$6:$AR$9,5,0)</f>
        <v>0</v>
      </c>
      <c r="W7" s="78" t="n">
        <f aca="false">VLOOKUP($R7,$AI$6:$AR$9,6,0)</f>
        <v>1</v>
      </c>
      <c r="X7" s="78" t="n">
        <f aca="false">VLOOKUP($R7,$AI$6:$AR$9,7,0)</f>
        <v>5</v>
      </c>
      <c r="Y7" s="78" t="n">
        <f aca="false">VLOOKUP($R7,$AI$6:$AR$9,8,0)</f>
        <v>4</v>
      </c>
      <c r="Z7" s="79" t="n">
        <f aca="false">VLOOKUP($R7,$AI$6:$AR$9,9,0)</f>
        <v>1</v>
      </c>
      <c r="AA7" s="67" t="n">
        <f aca="false">IF(SUM($AK$6:$AK$9)=12,MIN(ABS(BY6-BY7),ABS(BY7-BY8)),100)</f>
        <v>1125999999.99</v>
      </c>
      <c r="AB7" s="68" t="str">
        <f aca="false">IF(AND(AA7&gt;=0,AA7&lt;90),VLOOKUP(Q7,$BU$6:$BV$9,2,0),"")</f>
        <v/>
      </c>
      <c r="AC7" s="69"/>
      <c r="AD7" s="70"/>
      <c r="AE7" s="71"/>
      <c r="AF7" s="24" t="n">
        <f aca="false">VLOOKUP($R7,$AI$6:$AR$9,10,0)</f>
        <v>6676210499.97</v>
      </c>
      <c r="AG7" s="11" t="n">
        <f aca="false">RANK(AU7,$AU$6:$AU$9)</f>
        <v>3</v>
      </c>
      <c r="AH7" s="11" t="n">
        <f aca="false">RANK(AR7,$AR$6:$AR$9)</f>
        <v>3</v>
      </c>
      <c r="AI7" s="10" t="str">
        <f aca="false">A6</f>
        <v>Ecuador</v>
      </c>
      <c r="AJ7" s="11" t="n">
        <f aca="false">AL7*3+AM7*1+AN7*0</f>
        <v>4</v>
      </c>
      <c r="AK7" s="11" t="n">
        <f aca="false">COUNTIFS($I$4:$I$65,AI7,$K$4:$K$65,"&lt;&gt;",$L$4:$L$65,"&lt;&gt;")+COUNTIFS($N$4:$N$65,AI7,$L$4:$L$65,"&lt;&gt;",$K$4:$K$65,"&lt;&gt;")</f>
        <v>3</v>
      </c>
      <c r="AL7" s="11" t="n">
        <f aca="false" t="array" ref="AL7:AL7">SUM(($I$4:$I$65=AI7)*($K$4:$K$65&lt;&gt;"")*($L$4:$L$65&lt;&gt;"")*($K$4:$K$65&gt;$L$4:$L$65),($N$4:$N$65=AI7)*($K$4:$K$65&lt;&gt;"")*($L$4:$L$65&lt;&gt;"")*($K$4:$K$65&lt;$L$4:$L$65))</f>
        <v>1</v>
      </c>
      <c r="AM7" s="11" t="n">
        <f aca="false" t="array" ref="AM7:AM7">SUM(($I$4:$I$65=AI7)*($K$4:$K$65&lt;&gt;"")*($L$4:$L$65&lt;&gt;"")*($K$4:$K$65=$L$4:$L$65),($N$4:$N$65=AI7)*($K$4:$K$65&lt;&gt;"")*($L$4:$L$65&lt;&gt;"")*($K$4:$K$65=$L$4:$L$65))</f>
        <v>1</v>
      </c>
      <c r="AN7" s="11" t="n">
        <f aca="false" t="array" ref="AN7:AN7">SUM(($I$4:$I$65=AI7)*($L$4:$L$65&lt;&gt;"")*($K$4:$K$65&lt;&gt;"")*($K$4:$K$65&lt;$L$4:$L$65),($K$4:$K$65&lt;&gt;"")*($N$4:$N$65=AI7)*($L$4:$L$65&lt;&gt;"")*($K$4:$K$65&gt;$L$4:$L$65))</f>
        <v>1</v>
      </c>
      <c r="AO7" s="11" t="n">
        <f aca="false" t="array" ref="AO7:AO7">SUMIFS($K$4:$K$65,$I$4:$I$65,AI7,$K$4:$K$65,"&lt;&gt;",$L$4:$L$65,"&lt;&gt;")+SUMIFS($L$4:$L$65,$N$4:$N$65,AI7,$K$4:$K$65,"&lt;&gt;",$L$4:$L$65,"&lt;&gt;")</f>
        <v>4</v>
      </c>
      <c r="AP7" s="11" t="n">
        <f aca="false" t="array" ref="AP7:AP7">SUMIFS($K$4:$K$65,$N$4:$N$65,AI7,$K$4:$K$65,"&lt;&gt;",$L$4:$L$65,"&lt;&gt;")+SUMIFS($L$4:$L$65,$I$4:$I$65,AI7,$K$4:$K$65,"&lt;&gt;",$L$4:$L$65,"&lt;&gt;")</f>
        <v>3</v>
      </c>
      <c r="AQ7" s="11" t="n">
        <f aca="false">AO7-AP7</f>
        <v>1</v>
      </c>
      <c r="AR7" s="11" t="n">
        <f aca="false">IF(AK7=0,-($AW$11*VLOOKUP(AI7,Tabla3[[NombreEquipo]:[Rank]],3,0)),AJ7*$AW$4+AQ7*$AW$5+AO7*$AW$6+BA7-($AW$11*VLOOKUP(AI7,Tabla3[[NombreEquipo]:[Rank]],3,0)/100))</f>
        <v>4453210499.98</v>
      </c>
      <c r="AS7" s="11" t="n">
        <f aca="false">AH7</f>
        <v>3</v>
      </c>
      <c r="AT7" s="11"/>
      <c r="AU7" s="11" t="n">
        <f aca="false">IFERROR(AR7-VLOOKUP(AI7,$AB$6:$AC$9,2,0),AR7)</f>
        <v>4453210499.98</v>
      </c>
      <c r="AV7" s="11" t="s">
        <v>76</v>
      </c>
      <c r="AW7" s="31" t="n">
        <f aca="false">AW8*20</f>
        <v>200000</v>
      </c>
      <c r="AX7" s="11"/>
      <c r="AY7" s="72" t="str">
        <f aca="false">AI7</f>
        <v>Ecuador</v>
      </c>
      <c r="AZ7" s="11" t="n">
        <f aca="false">COUNTIF(AJ6:AJ9,AJ7)</f>
        <v>1</v>
      </c>
      <c r="BA7" s="11" t="n">
        <f aca="false">(BB7*$AW$9)+(BH7*$AW$8)+(BN7*$AW$7)</f>
        <v>210500</v>
      </c>
      <c r="BB7" s="73" t="n">
        <f aca="false">RANK(BC7,BC6:BC9,1)</f>
        <v>1</v>
      </c>
      <c r="BC7" s="73" t="n">
        <f aca="false">SUM(IF(AND(AJ7=AJ8,AQ7=AQ8,AO7=AO8),BF7,0),IF(AND(AJ7=AJ9,AQ7=AQ9,AO7=AO9),BG7,0),IF(AND(AJ7=AJ6,AQ7=AQ6,AO7=AO6),BD7,0))</f>
        <v>0</v>
      </c>
      <c r="BD7" s="73" t="n">
        <f aca="false" t="array" ref="BD7:BD7">SUMIFS($K$4:$K$9,$I$4:$I$9,$AY7,$K$4:$K$9,"&lt;&gt;",$L$4:$L$9,"&lt;&gt;",$N$4:$N$9,BD5)+SUMIFS($L$4:$L$9,$I$4:$I$9,BD5,$K$4:$K$9,"&lt;&gt;",$L$4:$L$9,"&lt;&gt;",$N$4:$N$9,$AY7)</f>
        <v>2</v>
      </c>
      <c r="BE7" s="73" t="n">
        <v>0</v>
      </c>
      <c r="BF7" s="73" t="n">
        <f aca="false" t="array" ref="BF7:BF7">SUMIFS($K$4:$K$9,$I$4:$I$9,$AY7,$K$4:$K$9,"&lt;&gt;",$L$4:$L$9,"&lt;&gt;",$N$4:$N$9,BF5)+SUMIFS($L$4:$L$9,$I$4:$I$9,BF5,$K$4:$K$9,"&lt;&gt;",$L$4:$L$9,"&lt;&gt;",$N$4:$N$9,$AY7)</f>
        <v>1</v>
      </c>
      <c r="BG7" s="73" t="n">
        <f aca="false" t="array" ref="BG7:BG7">SUMIFS($K$4:$K$9,$I$4:$I$9,$AY7,$K$4:$K$9,"&lt;&gt;",$L$4:$L$9,"&lt;&gt;",$N$4:$N$9,BG5)+SUMIFS($L$4:$L$9,$I$4:$I$9,BG5,$K$4:$K$9,"&lt;&gt;",$L$4:$L$9,"&lt;&gt;",$N$4:$N$9,$AY7)</f>
        <v>1</v>
      </c>
      <c r="BH7" s="73" t="n">
        <f aca="false">RANK(BI7,BI6:BI9,1)</f>
        <v>1</v>
      </c>
      <c r="BI7" s="73" t="n">
        <f aca="false">SUM(IF(AND(AJ7=AJ8,AQ7=AQ8,AO7=AO8),BL7,0),IF(AND(AJ7=AJ9,AQ7=AQ9,AO7=AO9),BM7,0),IF(AND(AJ7=AJ6,AQ7=AQ6,AO7=AO6),BJ7,0))</f>
        <v>0</v>
      </c>
      <c r="BJ7" s="73" t="n">
        <f aca="false">BD7-BE6</f>
        <v>2</v>
      </c>
      <c r="BK7" s="73" t="n">
        <v>0</v>
      </c>
      <c r="BL7" s="73" t="n">
        <f aca="false">BF7-BE8</f>
        <v>-1</v>
      </c>
      <c r="BM7" s="73" t="n">
        <f aca="false">BG7-BE9</f>
        <v>0</v>
      </c>
      <c r="BN7" s="73" t="n">
        <f aca="false">RANK(BO7,BO6:BO9,1)</f>
        <v>1</v>
      </c>
      <c r="BO7" s="73" t="n">
        <f aca="false">SUM(IF(AND(AJ7=AJ8,AQ7=AQ8,AO7=AO8),BR7,0),IF(AND(AJ7=AJ9,AQ7=AQ9,AO7=AO9),BS7,0),IF(AND(AJ7=AJ6,AQ7=AQ6,AO7=AO6),BP7,0))</f>
        <v>0</v>
      </c>
      <c r="BP7" s="73" t="n">
        <f aca="false" t="array" ref="BP7:BP7">SUM((I$4:I$49=AY7)*(N$4:N$49=BP5)*(K$4:K$49&lt;&gt;"")*(L$4:L$49&lt;&gt;"")*(K$4:K$49&gt;L$4:L$49)*3,(N$4:N$49=AY7)*(I$4:I$49=BP5)*(K$4:K$49&lt;&gt;"")*(L$4:L$49&lt;&gt;"")*(K$4:K$49=L$4:L$49)*1,(N$4:N$49=AY7)*(I$4:I$49=BP5)*(K$4:K$49&lt;&gt;"")*(L$4:L$49&lt;&gt;"")*(K$4:K$49&lt;L$4:L$49)*3,(I$4:I$49=AY7)*(N$4:N$49=BP5)*(K$4:K$49&lt;&gt;"")*(L$4:L$49&lt;&gt;"")*(K$4:K$49=L$4:L$49)*1)</f>
        <v>3</v>
      </c>
      <c r="BQ7" s="73" t="n">
        <v>0</v>
      </c>
      <c r="BR7" s="73" t="n">
        <f aca="false" t="array" ref="BR7:BR7">SUM((I$4:I$49=AY7)*(N$4:N$49=BR5)*(K$4:K$49&lt;&gt;"")*(L$4:L$49&lt;&gt;"")*(K$4:K$49&gt;L$4:L$49)*3,(N$4:N$49=AY7)*(I$4:I$49=BR5)*(K$4:K$49&lt;&gt;"")*(L$4:L$49&lt;&gt;"")*(K$4:K$49=L$4:L$49)*1,(N$4:N$49=AY7)*(I$4:I$49=BR5)*(K$4:K$49&lt;&gt;"")*(L$4:L$49&lt;&gt;"")*(K$4:K$49&lt;L$4:L$49)*3,(I$4:I$49=AY7)*(N$4:N$49=BR5)*(K$4:K$49&lt;&gt;"")*(L$4:L$49&lt;&gt;"")*(K$4:K$49=L$4:L$49)*1)</f>
        <v>0</v>
      </c>
      <c r="BS7" s="73" t="n">
        <f aca="false" t="array" ref="BS7:BS7">SUM((I$4:I$49=AY7)*(N$4:N$49=BS5)*(K$4:K$49&lt;&gt;"")*(L$4:L$49&lt;&gt;"")*(K$4:K$49&gt;L$4:L$49)*3,(N$4:N$49=AY7)*(I$4:I$49=BS5)*(K$4:K$49&lt;&gt;"")*(L$4:L$49&lt;&gt;"")*(K$4:K$49=L$4:L$49)*1,(N$4:N$49=AY7)*(I$4:I$49=BS5)*(K$4:K$49&lt;&gt;"")*(L$4:L$49&lt;&gt;"")*(K$4:K$49&lt;L$4:L$49)*3,(I$4:I$49=AY7)*(N$4:N$49=BS5)*(K$4:K$49&lt;&gt;"")*(L$4:L$49&lt;&gt;"")*(K$4:K$49=L$4:L$49)*1)</f>
        <v>1</v>
      </c>
      <c r="BT7" s="10" t="n">
        <v>2</v>
      </c>
      <c r="BU7" s="10" t="n">
        <f aca="false">RANK(BW7,$BW$6:$BW$9)</f>
        <v>3</v>
      </c>
      <c r="BV7" s="10" t="str">
        <f aca="false">A6</f>
        <v>Ecuador</v>
      </c>
      <c r="BW7" s="10" t="n">
        <f aca="false">IF(AK7=0,-($AW$11*VLOOKUP(AI7,Tabla3[[NombreEquipo]:[Rank]],3,0)),AJ7*$AW$4+BA7+AQ7*$AW$8+AO7*$AW$9+AL7*$AW$10-($AW$11*VLOOKUP(AI7,Tabla3[[NombreEquipo]:[Rank]],3,0)/100))</f>
        <v>4444222599.98</v>
      </c>
      <c r="BX7" s="10" t="str">
        <f aca="false">VLOOKUP(Q7,$AH$6:$AI$9,2,0)</f>
        <v>Senegal</v>
      </c>
      <c r="BY7" s="10" t="n">
        <f aca="false">VLOOKUP($BX7,$AI$6:$AR$9,10,0)</f>
        <v>6676210499.97</v>
      </c>
      <c r="CA7" s="10" t="n">
        <v>2</v>
      </c>
      <c r="CB7" s="10" t="str">
        <f aca="false">VLOOKUP(CA7,$AH$6:$AI$9,2,0)</f>
        <v>Senegal</v>
      </c>
      <c r="CC7" s="10" t="n">
        <f aca="false">VLOOKUP(CB7,$AI$6:$AR$9,2,0)</f>
        <v>6</v>
      </c>
      <c r="CD7" s="74" t="n">
        <f aca="false">IF(SUM($AK$6:$AK$9)=12,MIN(ABS(BY6-BY7),ABS(BY7-BY8)),100)</f>
        <v>1125999999.99</v>
      </c>
      <c r="CE7" s="10" t="n">
        <f aca="false">VLOOKUP($CB7,$AI$6:$AR$9,9,0)</f>
        <v>1</v>
      </c>
      <c r="CF7" s="10" t="n">
        <f aca="false">VLOOKUP($CB7,$AI$6:$AR$9,7,0)</f>
        <v>5</v>
      </c>
      <c r="CH7" s="10" t="n">
        <f aca="false" t="array" ref="CH7:CH7">IF($CI$6=$CL$5,$EC$5:$EC$8,IF($CI$6=$CM$5,$ED$5:$ED$7,IF(OR($CI$6=$CN$5,$CI$6=$CO$5),$EE$5:$EE$6,IF($CI$6=$CP$5,$EF$5:$EF$7,(IF($CI$6=$CQ$5,$EH$5:$EH$6,$EJ$5))))))</f>
        <v>2</v>
      </c>
      <c r="CK7" s="11" t="n">
        <v>2</v>
      </c>
      <c r="CL7" s="11" t="n">
        <f aca="false" t="array" ref="CL7:CL7">IF(AND($CC$6:$CC$9=$CC$7,$CD$6:$CD$9&lt;90,$AQ$6:$AQ$9=$AQ$7,$CF$6:$CF$9=$CF$7),1,0)</f>
        <v>0</v>
      </c>
      <c r="CM7" s="11" t="n">
        <f aca="false" t="array" ref="CM7:CM7">IF(AND($CC$6:$CC$8=$CC$7,$CD$6:$CD$8&lt;90,$CC$7&lt;&gt;$CC$9),1,0)</f>
        <v>0</v>
      </c>
      <c r="CN7" s="11" t="n">
        <f aca="false" t="array" ref="CN7:CN7">IF(AND($CC$6:$CC$7=$CC$6,$CD$6:$CD$7&lt;90,$CC$6&lt;&gt;$CC$8),1,0)</f>
        <v>0</v>
      </c>
      <c r="CO7" s="11" t="n">
        <f aca="false" t="array" ref="CO7:CO7">IF(AND($CC$6:$CC$7=$CC$6,$CD$6:$CD$7&lt;90,$CC$6&lt;&gt;$CC$8),1,0)</f>
        <v>0</v>
      </c>
      <c r="CP7" s="11" t="n">
        <f aca="false" t="array" ref="CP7:CP7">IF(AND($CC$7:$CC$9=$CC$7,$CD$7:$CD$9&lt;90,$CC$6&lt;&gt;$CC$7),1,0)</f>
        <v>0</v>
      </c>
      <c r="CQ7" s="11" t="n">
        <f aca="false" t="array" ref="CQ7:CQ7">IF(AND($CC$7:$CC$8=$CC$7,$CD$7:$CD$8&lt;90,$CC$7&lt;&gt;$CC$6,$CC$7&lt;&gt;$CC$9),1,0)</f>
        <v>0</v>
      </c>
      <c r="CR7" s="11" t="n">
        <f aca="false" t="array" ref="CR7:CR7">IF(AND($CC$7&lt;&gt;$CC$6,$CC$7&lt;&gt;$CC$8),1,0)</f>
        <v>1</v>
      </c>
      <c r="CS7" s="11" t="n">
        <f aca="false" t="array" ref="CS7:CS7">IF(AND($CC$7&lt;&gt;$CC$6,$CC$7&lt;&gt;$CC$8),1,0)</f>
        <v>1</v>
      </c>
      <c r="CT7" s="11" t="n">
        <f aca="false" t="array" ref="CT7:CT7">IF(AND($CC$6:$CC$9=$CC$6,$CD$6:$CD$9&lt;90,$CE$6:$CE$7=$CE$6,$CE$7&lt;&gt;$CE$8),1,0)</f>
        <v>0</v>
      </c>
      <c r="CU7" s="11" t="n">
        <f aca="false" t="array" ref="CU7:CU7">IF(AND($CC$6:$CC$9=$CC$6,$CD$6:$CD$9&lt;90,$CE$6:$CE$9=$CE$6,$CF$6=$CF$7,$CF$7&lt;&gt;$CF$8),1,0)</f>
        <v>0</v>
      </c>
      <c r="CV7" s="11" t="n">
        <f aca="false" t="array" ref="CV7:CV7">IF(AND($CC$6:$CC$8=$CC$7,$CD$6:$CD$7&lt;90,$CD$8&gt;90),1,0)</f>
        <v>0</v>
      </c>
      <c r="CW7" s="11" t="n">
        <f aca="false" t="array" ref="CW7:CW7">IF(AND($CC$7&lt;&gt;$CC$6,$CC$7:$CC$9=$CC$7,$CD$7&gt;90,$CD$8:$CD$9&lt;90),1,0)</f>
        <v>0</v>
      </c>
      <c r="CX7" s="11" t="n">
        <f aca="false" t="array" ref="CX7:CX7">IF(AND($CC$7&lt;&gt;$CC$6,$CC$7:$CC$9=$CC$7,$CD$9&gt;90,$CD$7:$CD$8&lt;90),1,0)</f>
        <v>0</v>
      </c>
      <c r="CY7" s="11" t="n">
        <f aca="false" t="array" ref="CY7:CY7">IF(AND($CC$7&lt;&gt;$CC$9,$CC$6:$CC$8=$CC$7,$CD$6&gt;90,$CD$7:$CD$8&lt;90),1,0)</f>
        <v>0</v>
      </c>
      <c r="CZ7" s="11" t="n">
        <f aca="false" t="array" ref="CZ7:CZ7">IF(AND($CC$6:$CC$9=$CC$7,$CD$7:$CD$9&lt;90,$CD$6&lt;&gt;$CD$7),1,0)</f>
        <v>0</v>
      </c>
      <c r="DA7" s="11" t="n">
        <f aca="false" t="array" ref="DA7:DA7">IF(AND($CC$6:$CC$9=$CC$7,$CD$6:$CD$8&lt;90,$CD$7&lt;&gt;$CD$9),1,0)</f>
        <v>0</v>
      </c>
      <c r="DB7" s="11" t="n">
        <f aca="false" t="array" ref="DB7:DB7">IF(AND($CC$6:$CC$9=$CC$7,$CD$6:$CD$7&gt;90,$CD$8:$CD$9&lt;90,$CE$6:$CE$9=$CE$7,$CF$6&gt;$CF$7,$CF$7&gt;$CF$8,$CF$7&gt;$CF$9),1,0)</f>
        <v>0</v>
      </c>
      <c r="DC7" s="11" t="n">
        <f aca="false" t="array" ref="DC7:DC7">IF(AND($CC$6:$CC$9=$CC$7,$CD$6&gt;90,$CD$7:$CD$8&lt;90,$CD$9&gt;90,$CE$6:$CE$9=$CE$7,$CF$6&gt;$CF$7,$CF$7=$CF$8,$CF$7&gt;$CF$9),1,0)</f>
        <v>0</v>
      </c>
      <c r="DD7" s="11" t="n">
        <f aca="false" t="array" ref="DD7:DD7">IF(AND($CC$6:$CC$9=$CC$7,$CD$6:$CD$7&lt;90,$CD$8:$CD$9&gt;90,$CE$6:$CE$9=$CE$7,$CF$6=$CF$7,$CF$7&gt;$CF$8,$CF$7&gt;$CF$9),1,0)</f>
        <v>0</v>
      </c>
      <c r="DE7" s="11" t="n">
        <f aca="false" t="array" ref="DE7:DE7">IF(AND($CC$6:$CC$9=$CC$7,$CD$6:$CD$7&gt;90,$CD$8:$CD$9&lt;90,$CE$6:$CE$9=$CE$7,$CF$6&gt;$CF$7,$CF$7:$CF$9=$CF$7),1,0)</f>
        <v>0</v>
      </c>
      <c r="DF7" s="11" t="n">
        <f aca="false" t="array" ref="DF7:DF7">IF(AND($CC$6:$CC$9=$CC$7,$CD$6:$CD$7&lt;90,$CD$8:$CD$9&gt;90,$CE$6:$CE$9=$CE$7,$CF$6:$CF$8=$CF$7,$CF$7&gt;$CF$9),1,0)</f>
        <v>0</v>
      </c>
      <c r="DG7" s="11" t="n">
        <f aca="false" t="array" ref="DG7:DG7">IF(AND($CC$6:$CC$9=$CC$7,$CD$6&gt;90,$CD$9&gt;90,$CD$7:$CD$8&lt;90,$CE$6:$CE$9=$CE$7,$CF$6&gt;$CF$7:$CF$9,$CF$7:$CF$9=$CF$7),1,0)</f>
        <v>0</v>
      </c>
      <c r="EC7" s="10" t="n">
        <v>3</v>
      </c>
      <c r="ED7" s="10" t="n">
        <v>3</v>
      </c>
      <c r="EE7" s="10"/>
      <c r="EF7" s="10" t="n">
        <v>4</v>
      </c>
      <c r="EG7" s="10"/>
      <c r="EH7" s="10"/>
      <c r="EI7" s="10"/>
      <c r="EJ7" s="10"/>
      <c r="EK7" s="10"/>
      <c r="EL7" s="10"/>
      <c r="FI7" s="73"/>
      <c r="FK7" s="73"/>
      <c r="FM7" s="73"/>
    </row>
    <row r="8" customFormat="false" ht="15" hidden="false" customHeight="false" outlineLevel="0" collapsed="false">
      <c r="A8" s="32" t="str">
        <f aca="true" t="array" ref="A8:A8">IF(ROWS(A$5:A8)&lt;=$C$4,INDEX(INDIRECT(A$4),SMALL(IF(Nivell=$B$4,ROW(Nivell)-ROW(Equipos!$C$2)+1),ROWS(B$4:B7))),"")</f>
        <v>Paises Bajos</v>
      </c>
      <c r="B8" s="33"/>
      <c r="C8" s="75"/>
      <c r="D8" s="35"/>
      <c r="E8" s="36"/>
      <c r="F8" s="49" t="n">
        <f aca="false">Horarios!C8</f>
        <v>44894.75</v>
      </c>
      <c r="G8" s="50" t="n">
        <f aca="false">Horarios!C8</f>
        <v>44894.75</v>
      </c>
      <c r="H8" s="49" t="s">
        <v>77</v>
      </c>
      <c r="I8" s="51" t="str">
        <f aca="false">A6</f>
        <v>Ecuador</v>
      </c>
      <c r="J8" s="52" t="str">
        <f aca="false">VLOOKUP(I8,Equipos!$H$2:$I$33,2,0)</f>
        <v>🇪🇨</v>
      </c>
      <c r="K8" s="53" t="n">
        <v>1</v>
      </c>
      <c r="L8" s="53" t="n">
        <v>2</v>
      </c>
      <c r="M8" s="54" t="str">
        <f aca="false">VLOOKUP(N8,Equipos!$H$2:$I$33,2,0)</f>
        <v>🇸🇳</v>
      </c>
      <c r="N8" s="55" t="str">
        <f aca="false">A7</f>
        <v>Senegal</v>
      </c>
      <c r="O8" s="44" t="n">
        <f aca="false">IF(NOT(OR(ISBLANK(K8),ISBLANK(L8))),1,0)</f>
        <v>1</v>
      </c>
      <c r="P8" s="45"/>
      <c r="Q8" s="76" t="n">
        <v>3</v>
      </c>
      <c r="R8" s="77" t="str">
        <f aca="false">VLOOKUP(Q8,$AG$6:$AI$9,3,0)</f>
        <v>Ecuador</v>
      </c>
      <c r="S8" s="78" t="n">
        <f aca="false">VLOOKUP(R8,$AI$6:$AR$9,2,0)</f>
        <v>4</v>
      </c>
      <c r="T8" s="78" t="n">
        <f aca="false">VLOOKUP($R8,$AI$6:$AR$9,3,0)</f>
        <v>3</v>
      </c>
      <c r="U8" s="78" t="n">
        <f aca="false">VLOOKUP($R8,$AI$6:$AR$9,4,0)</f>
        <v>1</v>
      </c>
      <c r="V8" s="78" t="n">
        <f aca="false">VLOOKUP($R8,$AI$6:$AR$9,5,0)</f>
        <v>1</v>
      </c>
      <c r="W8" s="78" t="n">
        <f aca="false">VLOOKUP($R8,$AI$6:$AR$9,6,0)</f>
        <v>1</v>
      </c>
      <c r="X8" s="78" t="n">
        <f aca="false">VLOOKUP($R8,$AI$6:$AR$9,7,0)</f>
        <v>4</v>
      </c>
      <c r="Y8" s="78" t="n">
        <f aca="false">VLOOKUP($R8,$AI$6:$AR$9,8,0)</f>
        <v>3</v>
      </c>
      <c r="Z8" s="79" t="n">
        <f aca="false">VLOOKUP($R8,$AI$6:$AR$9,9,0)</f>
        <v>1</v>
      </c>
      <c r="AA8" s="67" t="n">
        <f aca="false">IF(SUM($AK$6:$AK$9)=12,MIN(ABS(BY7-BY8),ABS(BY8-BY9)),100)</f>
        <v>2222999999.99</v>
      </c>
      <c r="AB8" s="68" t="str">
        <f aca="false">IF(AND(AA8&gt;=0,AA8&lt;90),VLOOKUP(Q8,$BU$6:$BV$9,2,0),"")</f>
        <v/>
      </c>
      <c r="AC8" s="69"/>
      <c r="AD8" s="70"/>
      <c r="AE8" s="71"/>
      <c r="AF8" s="24" t="n">
        <f aca="false">VLOOKUP($R8,$AI$6:$AR$9,10,0)</f>
        <v>4453210499.98</v>
      </c>
      <c r="AG8" s="11" t="n">
        <f aca="false">RANK(AU8,$AU$6:$AU$9)</f>
        <v>2</v>
      </c>
      <c r="AH8" s="11" t="n">
        <f aca="false">RANK(AR8,$AR$6:$AR$9)</f>
        <v>2</v>
      </c>
      <c r="AI8" s="10" t="str">
        <f aca="false">A7</f>
        <v>Senegal</v>
      </c>
      <c r="AJ8" s="11" t="n">
        <f aca="false">AL8*3+AM8*1+AN8*0</f>
        <v>6</v>
      </c>
      <c r="AK8" s="11" t="n">
        <f aca="false">COUNTIFS($I$4:$I$65,AI8,$K$4:$K$65,"&lt;&gt;",$L$4:$L$65,"&lt;&gt;")+COUNTIFS($N$4:$N$65,AI8,$L$4:$L$65,"&lt;&gt;",$K$4:$K$65,"&lt;&gt;")</f>
        <v>3</v>
      </c>
      <c r="AL8" s="11" t="n">
        <f aca="false" t="array" ref="AL8:AL8">SUM(($I$4:$I$65=AI8)*($K$4:$K$65&lt;&gt;"")*($L$4:$L$65&lt;&gt;"")*($K$4:$K$65&gt;$L$4:$L$65),($N$4:$N$65=AI8)*($K$4:$K$65&lt;&gt;"")*($L$4:$L$65&lt;&gt;"")*($K$4:$K$65&lt;$L$4:$L$65))</f>
        <v>2</v>
      </c>
      <c r="AM8" s="11" t="n">
        <f aca="false" t="array" ref="AM8:AM8">SUM(($I$4:$I$65=AI8)*($K$4:$K$65&lt;&gt;"")*($L$4:$L$65&lt;&gt;"")*($K$4:$K$65=$L$4:$L$65),($N$4:$N$65=AI8)*($K$4:$K$65&lt;&gt;"")*($L$4:$L$65&lt;&gt;"")*($K$4:$K$65=$L$4:$L$65))</f>
        <v>0</v>
      </c>
      <c r="AN8" s="11" t="n">
        <f aca="false" t="array" ref="AN8:AN8">SUM(($I$4:$I$65=AI8)*($L$4:$L$65&lt;&gt;"")*($K$4:$K$65&lt;&gt;"")*($K$4:$K$65&lt;$L$4:$L$65),($K$4:$K$65&lt;&gt;"")*($N$4:$N$65=AI8)*($L$4:$L$65&lt;&gt;"")*($K$4:$K$65&gt;$L$4:$L$65))</f>
        <v>1</v>
      </c>
      <c r="AO8" s="11" t="n">
        <f aca="false" t="array" ref="AO8:AO8">SUMIFS($K$4:$K$65,$I$4:$I$65,AI8,$K$4:$K$65,"&lt;&gt;",$L$4:$L$65,"&lt;&gt;")+SUMIFS($L$4:$L$65,$N$4:$N$65,AI8,$K$4:$K$65,"&lt;&gt;",$L$4:$L$65,"&lt;&gt;")</f>
        <v>5</v>
      </c>
      <c r="AP8" s="11" t="n">
        <f aca="false" t="array" ref="AP8:AP8">SUMIFS($K$4:$K$65,$N$4:$N$65,AI8,$K$4:$K$65,"&lt;&gt;",$L$4:$L$65,"&lt;&gt;")+SUMIFS($L$4:$L$65,$I$4:$I$65,AI8,$K$4:$K$65,"&lt;&gt;",$L$4:$L$65,"&lt;&gt;")</f>
        <v>4</v>
      </c>
      <c r="AQ8" s="11" t="n">
        <f aca="false">AO8-AP8</f>
        <v>1</v>
      </c>
      <c r="AR8" s="11" t="n">
        <f aca="false">IF(AK8=0,-($AW$11*VLOOKUP(AI8,Tabla3[[NombreEquipo]:[Rank]],3,0)),AJ8*$AW$4+AQ8*$AW$5+AO8*$AW$6+BA8-($AW$11*VLOOKUP(AI8,Tabla3[[NombreEquipo]:[Rank]],3,0)/100))</f>
        <v>6676210499.97</v>
      </c>
      <c r="AS8" s="11" t="n">
        <f aca="false">AH8</f>
        <v>2</v>
      </c>
      <c r="AT8" s="11"/>
      <c r="AU8" s="11" t="n">
        <f aca="false">IFERROR(AR8-VLOOKUP(AI8,$AB$6:$AC$9,2,0),AR8)</f>
        <v>6676210499.97</v>
      </c>
      <c r="AV8" s="11" t="s">
        <v>78</v>
      </c>
      <c r="AW8" s="31" t="n">
        <f aca="false">AW9*20</f>
        <v>10000</v>
      </c>
      <c r="AX8" s="11"/>
      <c r="AY8" s="72" t="str">
        <f aca="false">AI8</f>
        <v>Senegal</v>
      </c>
      <c r="AZ8" s="11" t="n">
        <f aca="false">COUNTIF(AJ6:AJ9,AJ8)</f>
        <v>1</v>
      </c>
      <c r="BA8" s="11" t="n">
        <f aca="false">(BB8*$AW$9)+(BH8*$AW$8)+(BN8*$AW$7)</f>
        <v>210500</v>
      </c>
      <c r="BB8" s="73" t="n">
        <f aca="false">RANK(BC8,BC6:BC9,1)</f>
        <v>1</v>
      </c>
      <c r="BC8" s="73" t="n">
        <f aca="false">SUM(IF(AND(AJ8=AJ9,AQ8=AQ9,AO8=AO9),BG8,0),IF(AND(AJ8=AJ6,AQ8=AQ6,AO8=AO6),BD8,0),IF(AND(AJ8=AJ7,AQ8=AQ7,AO8=AO7),BE8,0))</f>
        <v>0</v>
      </c>
      <c r="BD8" s="73" t="n">
        <f aca="false" t="array" ref="BD8:BD8">SUMIFS($K$4:$K$9,$I$4:$I$9,$AY8,$K$4:$K$9,"&lt;&gt;",$L$4:$L$9,"&lt;&gt;",$N$4:$N$9,BD5)+SUMIFS($L$4:$L$9,$I$4:$I$9,BD5,$K$4:$K$9,"&lt;&gt;",$L$4:$L$9,"&lt;&gt;",$N$4:$N$9,$AY8)</f>
        <v>3</v>
      </c>
      <c r="BE8" s="73" t="n">
        <f aca="false" t="array" ref="BE8:BE8">SUMIFS($K$4:$K$9,$I$4:$I$9,$AY8,$K$4:$K$9,"&lt;&gt;",$L$4:$L$9,"&lt;&gt;",$N$4:$N$9,BE5)+SUMIFS($L$4:$L$9,$I$4:$I$9,BE5,$K$4:$K$9,"&lt;&gt;",$L$4:$L$9,"&lt;&gt;",$N$4:$N$9,$AY8)</f>
        <v>2</v>
      </c>
      <c r="BF8" s="73" t="n">
        <v>0</v>
      </c>
      <c r="BG8" s="73" t="n">
        <f aca="false" t="array" ref="BG8:BG8">SUMIFS($K$4:$K$9,$I$4:$I$9,$AY8,$K$4:$K$9,"&lt;&gt;",$L$4:$L$9,"&lt;&gt;",$N$4:$N$9,BG5)+SUMIFS($L$4:$L$9,$I$4:$I$9,BG5,$K$4:$K$9,"&lt;&gt;",$L$4:$L$9,"&lt;&gt;",$N$4:$N$9,$AY8)</f>
        <v>0</v>
      </c>
      <c r="BH8" s="73" t="n">
        <f aca="false">RANK(BI8,BI6:BI9,1)</f>
        <v>1</v>
      </c>
      <c r="BI8" s="73" t="n">
        <f aca="false">SUM(IF(AND(AJ8=AJ9,AQ8=AQ9,AO8=AO9),BM8,0),IF(AND(AJ8=AJ6,AQ8=AQ6,AO8=AO6),BJ8,0),IF(AND(AJ8=AJ7,AQ8=AQ7,AO8=AO7),BK8,0))</f>
        <v>0</v>
      </c>
      <c r="BJ8" s="73" t="n">
        <f aca="false">BD8-BF6</f>
        <v>2</v>
      </c>
      <c r="BK8" s="73" t="n">
        <f aca="false">BE8-BF7</f>
        <v>1</v>
      </c>
      <c r="BL8" s="73" t="n">
        <v>0</v>
      </c>
      <c r="BM8" s="73" t="n">
        <f aca="false">BG8-BF9</f>
        <v>-2</v>
      </c>
      <c r="BN8" s="73" t="n">
        <f aca="false">RANK(BO8,BO6:BO9,1)</f>
        <v>1</v>
      </c>
      <c r="BO8" s="73" t="n">
        <f aca="false">SUM(IF(AND(AJ8=AJ9,AQ8=AQ9,AO8=AO9),BS8,0),IF(AND(AJ8=AJ6,AQ8=AQ6,AO8=AO6),BP8,0),IF(AND(AJ8=AJ7,AQ8=AQ7,AO8=AO7),BQ8,0))</f>
        <v>0</v>
      </c>
      <c r="BP8" s="73" t="n">
        <f aca="false" t="array" ref="BP8:BP8">SUM((I$4:I$49=AY8)*(N$4:N$49=BP5)*(K$4:K$49&lt;&gt;"")*(L$4:L$49&lt;&gt;"")*(K$4:K$49&gt;L$4:L$49)*3,(N$4:N$49=AY8)*(I$4:I$49=BP5)*(K$4:K$49&lt;&gt;"")*(L$4:L$49&lt;&gt;"")*(K$4:K$49=L$4:L$49)*1,(N$4:N$49=AY8)*(I$4:I$49=BP5)*(K$4:K$49&lt;&gt;"")*(L$4:L$49&lt;&gt;"")*(K$4:K$49&lt;L$4:L$49)*3,(I$4:I$49=AY8)*(N$4:N$49=BP5)*(K$4:K$49&lt;&gt;"")*(L$4:L$49&lt;&gt;"")*(K$4:K$49=L$4:L$49)*1)</f>
        <v>3</v>
      </c>
      <c r="BQ8" s="73" t="n">
        <f aca="false" t="array" ref="BQ8:BQ8">SUM((I$4:I$49=AY8)*(N$4:N$49=BQ5)*(K$4:K$49&lt;&gt;"")*(L$4:L$49&lt;&gt;"")*(K$4:K$49&gt;L$4:L$49)*3,(N$4:N$49=AY8)*(I$4:I$49=BQ5)*(K$4:K$49&lt;&gt;"")*(L$4:L$49&lt;&gt;"")*(K$4:K$49=L$4:L$49)*1,(N$4:N$49=AY8)*(I$4:I$49=BQ5)*(K$4:K$49&lt;&gt;"")*(L$4:L$49&lt;&gt;"")*(K$4:K$49&lt;L$4:L$49)*3,(I$4:I$49=AY8)*(N$4:N$49=BQ5)*(K$4:K$49&lt;&gt;"")*(L$4:L$49&lt;&gt;"")*(K$4:K$49=L$4:L$49)*1)</f>
        <v>3</v>
      </c>
      <c r="BR8" s="73" t="n">
        <v>0</v>
      </c>
      <c r="BS8" s="73" t="n">
        <f aca="false" t="array" ref="BS8:BS8">SUM((I$4:I$49=AY8)*(N$4:N$49=BS5)*(K$4:K$49&lt;&gt;"")*(L$4:L$49&lt;&gt;"")*(K$4:K$49&gt;L$4:L$49)*3,(N$4:N$49=AY8)*(I$4:I$49=BS5)*(K$4:K$49&lt;&gt;"")*(L$4:L$49&lt;&gt;"")*(K$4:K$49=L$4:L$49)*1,(N$4:N$49=AY8)*(I$4:I$49=BS5)*(K$4:K$49&lt;&gt;"")*(L$4:L$49&lt;&gt;"")*(K$4:K$49&lt;L$4:L$49)*3,(I$4:I$49=AY8)*(N$4:N$49=BS5)*(K$4:K$49&lt;&gt;"")*(L$4:L$49&lt;&gt;"")*(K$4:K$49=L$4:L$49)*1)</f>
        <v>0</v>
      </c>
      <c r="BT8" s="10" t="n">
        <v>3</v>
      </c>
      <c r="BU8" s="10" t="n">
        <f aca="false">RANK(BW8,$BW$6:$BW$9)</f>
        <v>2</v>
      </c>
      <c r="BV8" s="10" t="str">
        <f aca="false">A7</f>
        <v>Senegal</v>
      </c>
      <c r="BW8" s="10" t="n">
        <f aca="false">IF(AK8=0,-($AW$11*VLOOKUP(AI8,Tabla3[[NombreEquipo]:[Rank]],3,0)),AJ8*$AW$4+BA8+AQ8*$AW$8+AO8*$AW$9+AL8*$AW$10-($AW$11*VLOOKUP(AI8,Tabla3[[NombreEquipo]:[Rank]],3,0)/100))</f>
        <v>6666223199.97</v>
      </c>
      <c r="BX8" s="10" t="str">
        <f aca="false">VLOOKUP(Q8,$AH$6:$AI$9,2,0)</f>
        <v>Ecuador</v>
      </c>
      <c r="BY8" s="10" t="n">
        <f aca="false">VLOOKUP($BX8,$AI$6:$AR$9,10,0)</f>
        <v>4453210499.98</v>
      </c>
      <c r="CA8" s="10" t="n">
        <v>3</v>
      </c>
      <c r="CB8" s="10" t="str">
        <f aca="false">VLOOKUP(CA8,$AH$6:$AI$9,2,0)</f>
        <v>Ecuador</v>
      </c>
      <c r="CC8" s="10" t="n">
        <f aca="false">VLOOKUP(CB8,$AI$6:$AR$9,2,0)</f>
        <v>4</v>
      </c>
      <c r="CD8" s="74" t="n">
        <f aca="false">IF(SUM($AK$6:$AK$9)=12,MIN(ABS(BY7-BY8),ABS(BY8-BY9)),100)</f>
        <v>2222999999.99</v>
      </c>
      <c r="CE8" s="10" t="n">
        <f aca="false">VLOOKUP($CB8,$AI$6:$AR$9,9,0)</f>
        <v>1</v>
      </c>
      <c r="CF8" s="10" t="n">
        <f aca="false">VLOOKUP($CB8,$AI$6:$AR$9,7,0)</f>
        <v>4</v>
      </c>
      <c r="CH8" s="10" t="n">
        <f aca="false" t="array" ref="CH8:CH8">IF($CI$6=$CL$5,$EC$5:$EC$8,IF($CI$6=$CM$5,$ED$5:$ED$7,IF(OR($CI$6=$CN$5,$CI$6=$CR$5),$EG$5:$EG$6,IF($CI$6=$CP$5,$EF$5:$EF$7,(IF($CI$6=$CQ$5,$EH$5:$EH$6,$EK$5))))))</f>
        <v>3</v>
      </c>
      <c r="CK8" s="11" t="n">
        <v>3</v>
      </c>
      <c r="CL8" s="11" t="n">
        <f aca="false" t="array" ref="CL8:CL8">IF(AND($CC$6:$CC$9=$CC$8,$CD$6:$CD$9&lt;90,$AQ$6:$AQ$9=$AQ$8,$CF$6:$CF$9=$CF$8),1,0)</f>
        <v>0</v>
      </c>
      <c r="CM8" s="11" t="n">
        <f aca="false" t="array" ref="CM8:CM8">IF(AND($CC$6:$CC$8=$CC$8,$CD$6:$CD$8&lt;90,$CC$8&lt;&gt;$CC$9),1,0)</f>
        <v>0</v>
      </c>
      <c r="CN8" s="11" t="n">
        <f aca="false" t="array" ref="CN8:CN8">IF(AND($CC$8:$CC$9=$CC$8,$CD$8:$CD$9&lt;90,$CC$8&lt;&gt;$CC$7),1,0)</f>
        <v>0</v>
      </c>
      <c r="CO8" s="11" t="n">
        <f aca="false" t="array" ref="CO8:CO8">IF(OR(AND($CC$8&lt;&gt;$CC$7,$CC$8&lt;&gt;$CC$9),AND($CC$8&lt;&gt;$CC$7,$CC$8=$CC$9,$CD$8&gt;90,$CD$9&gt;90)),1,0)</f>
        <v>1</v>
      </c>
      <c r="CP8" s="11" t="n">
        <f aca="false" t="array" ref="CP8:CP8">IF(AND($CC$7:$CC$9=$CC$7,$CD$7:$CD$9&lt;90,$CC$6&lt;&gt;$CC$8),1,0)</f>
        <v>0</v>
      </c>
      <c r="CQ8" s="11" t="n">
        <f aca="false" t="array" ref="CQ8:CQ8">IF(AND($CC$7:$CC$8=$CC$8,$CD$7:$CD$8&lt;90,$CC$8&lt;&gt;$CC$6,$CC$8&lt;&gt;$CC$9),1,0)</f>
        <v>0</v>
      </c>
      <c r="CR8" s="11" t="n">
        <f aca="false" t="array" ref="CR8:CR8">IF(AND($CC$8:$CC$9=$CC$8,$CD$8:$CD$9&lt;90,$CC$8&lt;&gt;$CC$7),1,0)</f>
        <v>0</v>
      </c>
      <c r="CS8" s="11" t="n">
        <f aca="false" t="array" ref="CS8:CS8">IF(AND($CC$8&lt;&gt;$CC$7,$CC$8&lt;&gt;$CC$9),1,0)</f>
        <v>1</v>
      </c>
      <c r="CT8" s="11" t="n">
        <f aca="false" t="array" ref="CT8:CT8">IF(AND($CC$6:$CC$9=$CC$6,$CD$6:$CD$9&lt;90,$CE$8:$CE$9=$CE$8,$CE$7&lt;&gt;$CE$8),1,0)</f>
        <v>0</v>
      </c>
      <c r="CU8" s="11" t="n">
        <f aca="false" t="array" ref="CU8:CU8">IF(AND($CC$6:$CC$9=$CC$6,$CD$6:$CD$9&lt;90,$CE$6:$CE$9=$CE$6,$CF$8=$CF$9,$CF$7&lt;&gt;$CF$8),1,0)</f>
        <v>0</v>
      </c>
      <c r="CV8" s="11" t="n">
        <f aca="false" t="array" ref="CV8:CV8">IF(AND($CC$6:$CC$8=$CC$8,$CD$6:$CD$7&lt;90,$CD$8&gt;90),1,0)</f>
        <v>0</v>
      </c>
      <c r="CW8" s="11" t="n">
        <f aca="false" t="array" ref="CW8:CW8">IF(AND($CC$7&lt;&gt;$CC$6,$CC$7:$CC$9=$CC$8,$CD$7&gt;90,$CD$8:$CD$9&lt;90),1,0)</f>
        <v>0</v>
      </c>
      <c r="CX8" s="11" t="n">
        <f aca="false" t="array" ref="CX8:CX8">IF(AND($CC$7&lt;&gt;$CC$6,$CC$7:$CC$9=$CC$7,$CD$9&gt;90,$CD$7:$CD$8&lt;90),1,0)</f>
        <v>0</v>
      </c>
      <c r="CY8" s="11" t="n">
        <f aca="false" t="array" ref="CY8:CY8">IF(AND($CC$8&lt;&gt;$CC$9,$CC$6:$CC$8=$CC$8,$CD$6&gt;90,$CD$7:$CD$8&lt;90),1,0)</f>
        <v>0</v>
      </c>
      <c r="CZ8" s="11" t="n">
        <f aca="false" t="array" ref="CZ8:CZ8">IF(AND($CC$6:$CC$9=$CC$7,$CD$7:$CD$9&lt;90,$CD$6&lt;&gt;$CD$8),1,0)</f>
        <v>0</v>
      </c>
      <c r="DA8" s="11" t="n">
        <f aca="false" t="array" ref="DA8:DA8">IF(AND($CC$6:$CC$9=$CC$8,$CD$6:$CD$8&lt;90,$CD$8&lt;&gt;$CD$9),1,0)</f>
        <v>0</v>
      </c>
      <c r="DB8" s="11" t="n">
        <f aca="false" t="array" ref="DB8:DB8">IF(AND($CC$6:$CC$9=$CC$8,$CD$6:$CD$7&gt;90,$CD$8:$CD$9&lt;90,$CE$6:$CE$9=$CE$8,$CF$6&gt;$CF$7,$CF$7&gt;$CF$8,$CF$8=$CF$9),1,0)</f>
        <v>0</v>
      </c>
      <c r="DC8" s="11" t="n">
        <f aca="false" t="array" ref="DC8:DC8">IF(AND($CC$6:$CC$9=$CC$8,$CD$6&gt;90,$CD$7:$CD$8&lt;90,$CD$9&gt;90,$CE$6:$CE$9=$CE$8,$CF$6&gt;$CF$7,$CF$7=$CF$8,$CF$8&gt;$CF$9),1,0)</f>
        <v>0</v>
      </c>
      <c r="DD8" s="11" t="n">
        <f aca="false" t="array" ref="DD8:DD8">IF(AND($CC$6:$CC$9=$CC$8,$CD$6:$CD$7&lt;90,$CD$8:$CD$9&gt;90,$CE$6:$CE$9=$CE$8,$CF$6=$CF$7,$CF$7&gt;$CF$8,$CF$8&gt;$CF$9),1,0)</f>
        <v>0</v>
      </c>
      <c r="DE8" s="11" t="n">
        <f aca="false" t="array" ref="DE8:DE8">IF(AND($CC$6:$CC$9=$CC$8,$CD$6:$CD$7&gt;90,$CD$8:$CD$9&lt;90,$CE$6:$CE$9=$CE$7,$CF$6&gt;$CF$8,$CF$7:$CF$9=$CF$8),1,0)</f>
        <v>0</v>
      </c>
      <c r="DF8" s="11" t="n">
        <f aca="false" t="array" ref="DF8:DF8">IF(AND($CC$6:$CC$9=$CC$8,$CD$6:$CD$7&lt;90,$CD$8:$CD$9&gt;90,$CE$6:$CE$9=$CE$8,$CF$6:$CF$8=$CF$8,$CF$8&gt;$CF$9),1,0)</f>
        <v>0</v>
      </c>
      <c r="DG8" s="11" t="n">
        <f aca="false" t="array" ref="DG8:DG8">IF(AND($CC$6:$CC$9=$CC$8,$CD$6&gt;90,$CD$9&gt;90,$CD$7:$CD$8&lt;90,$CE$6:$CE$9=$CE$8,$CF$6&gt;$CF$7:$CF$9,$CF$7:$CF$9=$CF$8),1,0)</f>
        <v>0</v>
      </c>
      <c r="EC8" s="10" t="n">
        <v>4</v>
      </c>
      <c r="ED8" s="10"/>
      <c r="EE8" s="10"/>
      <c r="EF8" s="10"/>
      <c r="EG8" s="10"/>
      <c r="EH8" s="10"/>
      <c r="EI8" s="10"/>
      <c r="EJ8" s="10"/>
      <c r="EK8" s="10"/>
      <c r="EL8" s="10"/>
      <c r="FI8" s="73"/>
      <c r="FK8" s="73"/>
      <c r="FM8" s="73"/>
    </row>
    <row r="9" customFormat="false" ht="15.75" hidden="false" customHeight="false" outlineLevel="0" collapsed="false">
      <c r="A9" s="12"/>
      <c r="B9" s="33"/>
      <c r="C9" s="12"/>
      <c r="D9" s="35"/>
      <c r="E9" s="36"/>
      <c r="F9" s="80" t="n">
        <f aca="false">Horarios!C9</f>
        <v>44894.75</v>
      </c>
      <c r="G9" s="81" t="n">
        <f aca="false">Horarios!C9</f>
        <v>44894.75</v>
      </c>
      <c r="H9" s="80" t="s">
        <v>77</v>
      </c>
      <c r="I9" s="82" t="str">
        <f aca="false">A8</f>
        <v>Paises Bajos</v>
      </c>
      <c r="J9" s="83" t="str">
        <f aca="false">VLOOKUP(I9,Equipos!$H$2:$I$33,2,0)</f>
        <v>🇳🇱</v>
      </c>
      <c r="K9" s="84" t="n">
        <v>2</v>
      </c>
      <c r="L9" s="84" t="n">
        <v>0</v>
      </c>
      <c r="M9" s="85" t="str">
        <f aca="false">VLOOKUP(N9,Equipos!$H$2:$I$33,2,0)</f>
        <v>🇶🇦</v>
      </c>
      <c r="N9" s="86" t="str">
        <f aca="false">A5</f>
        <v>Catar</v>
      </c>
      <c r="O9" s="44" t="n">
        <f aca="false">IF(NOT(OR(ISBLANK(K9),ISBLANK(L9))),1,0)</f>
        <v>1</v>
      </c>
      <c r="P9" s="45"/>
      <c r="Q9" s="87" t="n">
        <v>4</v>
      </c>
      <c r="R9" s="88" t="str">
        <f aca="false">VLOOKUP(Q9,$AG$6:$AI$9,3,0)</f>
        <v>Catar</v>
      </c>
      <c r="S9" s="89" t="n">
        <f aca="false">VLOOKUP(R9,$AI$6:$AR$9,2,0)</f>
        <v>0</v>
      </c>
      <c r="T9" s="89" t="n">
        <f aca="false">VLOOKUP($R9,$AI$6:$AR$9,3,0)</f>
        <v>3</v>
      </c>
      <c r="U9" s="89" t="n">
        <f aca="false">VLOOKUP($R9,$AI$6:$AR$9,4,0)</f>
        <v>0</v>
      </c>
      <c r="V9" s="89" t="n">
        <f aca="false">VLOOKUP($R9,$AI$6:$AR$9,5,0)</f>
        <v>0</v>
      </c>
      <c r="W9" s="89" t="n">
        <f aca="false">VLOOKUP($R9,$AI$6:$AR$9,6,0)</f>
        <v>3</v>
      </c>
      <c r="X9" s="89" t="n">
        <f aca="false">VLOOKUP($R9,$AI$6:$AR$9,7,0)</f>
        <v>1</v>
      </c>
      <c r="Y9" s="89" t="n">
        <f aca="false">VLOOKUP($R9,$AI$6:$AR$9,8,0)</f>
        <v>7</v>
      </c>
      <c r="Z9" s="90" t="n">
        <f aca="false">VLOOKUP($R9,$AI$6:$AR$9,9,0)</f>
        <v>-6</v>
      </c>
      <c r="AA9" s="67" t="n">
        <f aca="false">IF(SUM($AK$6:$AK$9)=12,MIN(ABS(BY8-BY9),ABS(BY9-BY10)),100)</f>
        <v>28789500.01</v>
      </c>
      <c r="AB9" s="68" t="str">
        <f aca="false">IF(AND(AA9&gt;=0,AA9&lt;90),VLOOKUP(Q9,$BU$6:$BV$9,2,0),"")</f>
        <v/>
      </c>
      <c r="AC9" s="69"/>
      <c r="AD9" s="70"/>
      <c r="AE9" s="71"/>
      <c r="AF9" s="24" t="n">
        <f aca="false">VLOOKUP($R9,$AI$6:$AR$9,10,0)</f>
        <v>-28789500.01</v>
      </c>
      <c r="AG9" s="11" t="n">
        <f aca="false">RANK(AU9,$AU$6:$AU$9)</f>
        <v>1</v>
      </c>
      <c r="AH9" s="11" t="n">
        <f aca="false">RANK(AR9,$AR$6:$AR$9)</f>
        <v>1</v>
      </c>
      <c r="AI9" s="10" t="str">
        <f aca="false">A8</f>
        <v>Paises Bajos</v>
      </c>
      <c r="AJ9" s="11" t="n">
        <f aca="false">AL9*3+AM9*1+AN9*0</f>
        <v>7</v>
      </c>
      <c r="AK9" s="11" t="n">
        <f aca="false">COUNTIFS($I$4:$I$65,AI9,$K$4:$K$65,"&lt;&gt;",$L$4:$L$65,"&lt;&gt;")+COUNTIFS($N$4:$N$65,AI9,$L$4:$L$65,"&lt;&gt;",$K$4:$K$65,"&lt;&gt;")</f>
        <v>3</v>
      </c>
      <c r="AL9" s="11" t="n">
        <f aca="false" t="array" ref="AL9:AL9">SUM(($I$4:$I$65=AI9)*($K$4:$K$65&lt;&gt;"")*($L$4:$L$65&lt;&gt;"")*($K$4:$K$65&gt;$L$4:$L$65),($N$4:$N$65=AI9)*($K$4:$K$65&lt;&gt;"")*($L$4:$L$65&lt;&gt;"")*($K$4:$K$65&lt;$L$4:$L$65))</f>
        <v>2</v>
      </c>
      <c r="AM9" s="11" t="n">
        <f aca="false" t="array" ref="AM9:AM9">SUM(($I$4:$I$65=AI9)*($K$4:$K$65&lt;&gt;"")*($L$4:$L$65&lt;&gt;"")*($K$4:$K$65=$L$4:$L$65),($N$4:$N$65=AI9)*($K$4:$K$65&lt;&gt;"")*($L$4:$L$65&lt;&gt;"")*($K$4:$K$65=$L$4:$L$65))</f>
        <v>1</v>
      </c>
      <c r="AN9" s="11" t="n">
        <f aca="false" t="array" ref="AN9:AN9">SUM(($I$4:$I$65=AI9)*($L$4:$L$65&lt;&gt;"")*($K$4:$K$65&lt;&gt;"")*($K$4:$K$65&lt;$L$4:$L$65),($K$4:$K$65&lt;&gt;"")*($N$4:$N$65=AI9)*($L$4:$L$65&lt;&gt;"")*($K$4:$K$65&gt;$L$4:$L$65))</f>
        <v>0</v>
      </c>
      <c r="AO9" s="11" t="n">
        <f aca="false" t="array" ref="AO9:AO9">SUMIFS($K$4:$K$65,$I$4:$I$65,AI9,$K$4:$K$65,"&lt;&gt;",$L$4:$L$65,"&lt;&gt;")+SUMIFS($L$4:$L$65,$N$4:$N$65,AI9,$K$4:$K$65,"&lt;&gt;",$L$4:$L$65,"&lt;&gt;")</f>
        <v>5</v>
      </c>
      <c r="AP9" s="11" t="n">
        <f aca="false" t="array" ref="AP9:AP9">SUMIFS($K$4:$K$65,$N$4:$N$65,AI9,$K$4:$K$65,"&lt;&gt;",$L$4:$L$65,"&lt;&gt;")+SUMIFS($L$4:$L$65,$I$4:$I$65,AI9,$K$4:$K$65,"&lt;&gt;",$L$4:$L$65,"&lt;&gt;")</f>
        <v>1</v>
      </c>
      <c r="AQ9" s="11" t="n">
        <f aca="false">AO9-AP9</f>
        <v>4</v>
      </c>
      <c r="AR9" s="11" t="n">
        <f aca="false">IF(AK9=0,-($AW$11*VLOOKUP(AI9,Tabla3[[NombreEquipo]:[Rank]],3,0)),AJ9*$AW$4+AQ9*$AW$5+AO9*$AW$6+BA9-($AW$11*VLOOKUP(AI9,Tabla3[[NombreEquipo]:[Rank]],3,0)/100))</f>
        <v>7802210499.96</v>
      </c>
      <c r="AS9" s="11" t="n">
        <f aca="false">AH9</f>
        <v>1</v>
      </c>
      <c r="AT9" s="11"/>
      <c r="AU9" s="11" t="n">
        <f aca="false">IFERROR(AR9-VLOOKUP(AI9,$AB$6:$AC$9,2,0),AR9)</f>
        <v>7802210499.96</v>
      </c>
      <c r="AV9" s="11" t="s">
        <v>79</v>
      </c>
      <c r="AW9" s="31" t="n">
        <f aca="false">AW10*5</f>
        <v>500</v>
      </c>
      <c r="AX9" s="11"/>
      <c r="AY9" s="72" t="str">
        <f aca="false">AI9</f>
        <v>Paises Bajos</v>
      </c>
      <c r="AZ9" s="11" t="n">
        <f aca="false">COUNTIF(AJ6:AJ9,AJ9)</f>
        <v>1</v>
      </c>
      <c r="BA9" s="11" t="n">
        <f aca="false">(BB9*$AW$9)+(BH9*$AW$8)+(BN9*$AW$7)</f>
        <v>210500</v>
      </c>
      <c r="BB9" s="73" t="n">
        <f aca="false">RANK(BC9,BC6:BC9,1)</f>
        <v>1</v>
      </c>
      <c r="BC9" s="73" t="n">
        <f aca="false">SUM(IF(AND(AJ9=AJ6,AQ9=AQ6,AO9=AO6),BD9,0),IF(AND(AJ9=AJ7,AQ9=AQ7,AO9=AO7),BE9,0),IF(AND(AJ9=AJ8,AQ9=AQ8,AO9=AO8),BF9,0))</f>
        <v>0</v>
      </c>
      <c r="BD9" s="73" t="n">
        <f aca="false" t="array" ref="BD9:BD9">SUMIFS($K$4:$K$9,$I$4:$I$9,$AY9,$K$4:$K$9,"&lt;&gt;",$L$4:$L$9,"&lt;&gt;",$N$4:$N$9,BD5)+SUMIFS($L$4:$L$9,$I$4:$I$9,BD5,$K$4:$K$9,"&lt;&gt;",$L$4:$L$9,"&lt;&gt;",$N$4:$N$9,$AY9)</f>
        <v>2</v>
      </c>
      <c r="BE9" s="73" t="n">
        <f aca="false" t="array" ref="BE9:BE9">SUMIFS($K$4:$K$9,$I$4:$I$9,$AY9,$K$4:$K$9,"&lt;&gt;",$L$4:$L$9,"&lt;&gt;",$N$4:$N$9,BE5)+SUMIFS($L$4:$L$9,$I$4:$I$9,BE5,$K$4:$K$9,"&lt;&gt;",$L$4:$L$9,"&lt;&gt;",$N$4:$N$9,$AY9)</f>
        <v>1</v>
      </c>
      <c r="BF9" s="73" t="n">
        <f aca="false" t="array" ref="BF9:BF9">SUMIFS($K$4:$K$9,$I$4:$I$9,$AY9,$K$4:$K$9,"&lt;&gt;",$L$4:$L$9,"&lt;&gt;",$N$4:$N$9,BF5)+SUMIFS($L$4:$L$9,$I$4:$I$9,BF5,$K$4:$K$9,"&lt;&gt;",$L$4:$L$9,"&lt;&gt;",$N$4:$N$9,$AY9)</f>
        <v>2</v>
      </c>
      <c r="BG9" s="73" t="n">
        <v>0</v>
      </c>
      <c r="BH9" s="73" t="n">
        <f aca="false">RANK(BI9,BI6:BI9,1)</f>
        <v>1</v>
      </c>
      <c r="BI9" s="73" t="n">
        <f aca="false">SUM(IF(AND(AJ9=AJ6,AQ9=AQ6,AO9=AO6),BJ9,0),IF(AND(AJ9=AJ7,AQ9=AQ7,AO9=AO7),BK9,0),IF(AND(AJ9=AJ8,AQ9=AQ8,AO9=AO8),BL9,0))</f>
        <v>0</v>
      </c>
      <c r="BJ9" s="73" t="n">
        <f aca="false">BD9-BG6</f>
        <v>2</v>
      </c>
      <c r="BK9" s="73" t="n">
        <f aca="false">BE9-BG7</f>
        <v>0</v>
      </c>
      <c r="BL9" s="73" t="n">
        <f aca="false">BF9-BG8</f>
        <v>2</v>
      </c>
      <c r="BM9" s="73" t="n">
        <v>0</v>
      </c>
      <c r="BN9" s="73" t="n">
        <f aca="false">RANK(BO9,BO6:BO9,1)</f>
        <v>1</v>
      </c>
      <c r="BO9" s="73" t="n">
        <f aca="false">SUM(IF(AND(AJ9=AJ6,AQ9=AQ6,AO9=AO6),BP9,0),IF(AND(AJ9=AJ7,AQ9=AQ7,AO9=AO7),BQ9,0),IF(AND(AJ9=AJ8,AQ9=AQ8,AO9=AO8),BR9,0))</f>
        <v>0</v>
      </c>
      <c r="BP9" s="73" t="n">
        <f aca="false" t="array" ref="BP9:BP9">SUM((I$4:I$49=AY9)*(N$4:N$49=BP5)*(K$4:K$49&lt;&gt;"")*(L$4:L$49&lt;&gt;"")*(K$4:K$49&gt;L$4:L$49)*3,(N$4:N$49=AY9)*(I$4:I$49=BP5)*(K$4:K$49&lt;&gt;"")*(L$4:L$49&lt;&gt;"")*(K$4:K$49=L$4:L$49)*1,(N$4:N$49=AY9)*(I$4:I$49=BP5)*(K$4:K$49&lt;&gt;"")*(L$4:L$49&lt;&gt;"")*(K$4:K$49&lt;L$4:L$49)*3,(I$4:I$49=AY9)*(N$4:N$49=BP5)*(K$4:K$49&lt;&gt;"")*(L$4:L$49&lt;&gt;"")*(K$4:K$49=L$4:L$49)*1)</f>
        <v>3</v>
      </c>
      <c r="BQ9" s="73" t="n">
        <f aca="false" t="array" ref="BQ9:BQ9">SUM((I$4:I$49=AY9)*(N$4:N$49=BQ5)*(K$4:K$49&lt;&gt;"")*(L$4:L$49&lt;&gt;"")*(K$4:K$49&gt;L$4:L$49)*3,(N$4:N$49=AY9)*(I$4:I$49=BQ5)*(K$4:K$49&lt;&gt;"")*(L$4:L$49&lt;&gt;"")*(K$4:K$49=L$4:L$49)*1,(N$4:N$49=AY9)*(I$4:I$49=BQ5)*(K$4:K$49&lt;&gt;"")*(L$4:L$49&lt;&gt;"")*(K$4:K$49&lt;L$4:L$49)*3,(I$4:I$49=AY9)*(N$4:N$49=BQ5)*(K$4:K$49&lt;&gt;"")*(L$4:L$49&lt;&gt;"")*(K$4:K$49=L$4:L$49)*1)</f>
        <v>1</v>
      </c>
      <c r="BR9" s="73" t="n">
        <f aca="false" t="array" ref="BR9:BR9">SUM((I$4:I$49=AY9)*(N$4:N$49=BR5)*(K$4:K$49&lt;&gt;"")*(L$4:L$49&lt;&gt;"")*(K$4:K$49&gt;L$4:L$49)*3,(N$4:N$49=AY9)*(I$4:I$49=BR5)*(K$4:K$49&lt;&gt;"")*(L$4:L$49&lt;&gt;"")*(K$4:K$49=L$4:L$49)*1,(N$4:N$49=AY9)*(I$4:I$49=BR5)*(K$4:K$49&lt;&gt;"")*(L$4:L$49&lt;&gt;"")*(K$4:K$49&lt;L$4:L$49)*3,(I$4:I$49=AY9)*(N$4:N$49=BR5)*(K$4:K$49&lt;&gt;"")*(L$4:L$49&lt;&gt;"")*(K$4:K$49=L$4:L$49)*1)</f>
        <v>3</v>
      </c>
      <c r="BS9" s="73" t="n">
        <v>0</v>
      </c>
      <c r="BT9" s="10" t="n">
        <v>4</v>
      </c>
      <c r="BU9" s="10" t="n">
        <f aca="false">RANK(BW9,$BW$6:$BW$9)</f>
        <v>1</v>
      </c>
      <c r="BV9" s="10" t="str">
        <f aca="false">A8</f>
        <v>Paises Bajos</v>
      </c>
      <c r="BW9" s="10" t="n">
        <f aca="false">IF(AK9=0,-($AW$11*VLOOKUP(AI9,Tabla3[[NombreEquipo]:[Rank]],3,0)),AJ9*$AW$4+BA9+AQ9*$AW$8+AO9*$AW$9+AL9*$AW$10-($AW$11*VLOOKUP(AI9,Tabla3[[NombreEquipo]:[Rank]],3,0)/100))</f>
        <v>7777253199.96</v>
      </c>
      <c r="BX9" s="10" t="str">
        <f aca="false">VLOOKUP(Q9,$AH$6:$AI$9,2,0)</f>
        <v>Catar</v>
      </c>
      <c r="BY9" s="10" t="n">
        <f aca="false">VLOOKUP($BX9,$AI$6:$AR$9,10,0)</f>
        <v>-28789500.01</v>
      </c>
      <c r="CA9" s="10" t="n">
        <v>4</v>
      </c>
      <c r="CB9" s="10" t="str">
        <f aca="false">VLOOKUP(CA9,$AH$6:$AI$9,2,0)</f>
        <v>Catar</v>
      </c>
      <c r="CC9" s="10" t="n">
        <f aca="false">VLOOKUP(CB9,$AI$6:$AR$9,2,0)</f>
        <v>0</v>
      </c>
      <c r="CD9" s="74" t="n">
        <f aca="false">IF(SUM($AK$6:$AK$9)=12,MIN(ABS(BY8-BY9),ABS(BY9-BY10)),100)</f>
        <v>28789500.01</v>
      </c>
      <c r="CE9" s="10" t="n">
        <f aca="false">VLOOKUP($CB9,$AI$6:$AR$9,9,0)</f>
        <v>-6</v>
      </c>
      <c r="CF9" s="10" t="n">
        <f aca="false">VLOOKUP($CB9,$AI$6:$AR$9,7,0)</f>
        <v>1</v>
      </c>
      <c r="CH9" s="10" t="n">
        <f aca="false" t="array" ref="CH9:CH9">IF($CI$6=$CL$5,$EC$5:$EC$8,IF(OR($CI$6=$CN$5,$CI$6=$CR$5),$EG$5:$EG$6,IF($CI$6=$CP$5,$EF$5:$EF$7,$EL$5)))</f>
        <v>4</v>
      </c>
      <c r="CK9" s="11" t="n">
        <v>4</v>
      </c>
      <c r="CL9" s="11" t="n">
        <f aca="false" t="array" ref="CL9:CL9">IF(AND($CC$6:$CC$9=$CC$9,$CD$6:$CD$9&lt;90,$AQ$6:$AQ$9=$AQ$9,$CF$6:$CF$9=$CF$9),1,0)</f>
        <v>0</v>
      </c>
      <c r="CM9" s="11" t="n">
        <f aca="false" t="array" ref="CM9:CM9">IF(AND($CC$6:$CC$8=$CC$6,$CD$6:$CD$8&lt;90,$CD$9&gt;90,$CC$6&lt;&gt;$CC$9),1,0)</f>
        <v>0</v>
      </c>
      <c r="CN9" s="11" t="n">
        <f aca="false" t="array" ref="CN9:CN9">IF(AND($CC$8:$CC$9=$CC$8,$CD$8:$CD$9&lt;90,$CC$8&lt;&gt;$CC$7),1,0)</f>
        <v>0</v>
      </c>
      <c r="CO9" s="11" t="n">
        <f aca="false" t="array" ref="CO9:CO9">IF(AND($CC$9&lt;&gt;$CC$7,$CC$9&lt;&gt;$CC$6),1,0)</f>
        <v>1</v>
      </c>
      <c r="CP9" s="11" t="n">
        <f aca="false" t="array" ref="CP9:CP9">IF(AND($CC$7:$CC$9=$CC$7,$CD$7:$CD$9&lt;90,$CC$6&lt;&gt;$CC$9),1,0)</f>
        <v>0</v>
      </c>
      <c r="CQ9" s="11" t="n">
        <f aca="false" t="array" ref="CQ9:CQ9">IF(AND($CC$9&lt;&gt;$CC$7,$CC$9&lt;&gt;$CC$6),1,0)</f>
        <v>1</v>
      </c>
      <c r="CR9" s="11" t="n">
        <f aca="false" t="array" ref="CR9:CR9">IF(AND($CC$8:$CC$9=$CC$8,$CD$8:$CD$9&lt;90,$CC$8&lt;&gt;$CC$7),1,0)</f>
        <v>0</v>
      </c>
      <c r="CS9" s="11" t="n">
        <f aca="false" t="array" ref="CS9:CS9">IF(AND($CC$9&lt;&gt;$CC$7,$CC$9&lt;&gt;$CC$6),1,0)</f>
        <v>1</v>
      </c>
      <c r="CT9" s="11" t="n">
        <f aca="false" t="array" ref="CT9:CT9">IF(AND($CC$6:$CC$9=$CC$6,$CD$6:$CD$9&lt;90,$CE$8:$CE$9=$CE$9,$CE$7&lt;&gt;$CE$9),1,0)</f>
        <v>0</v>
      </c>
      <c r="CU9" s="11" t="n">
        <f aca="false" t="array" ref="CU9:CU9">IF(AND($CC$6:$CC$9=$CC$6,$CD$6:$CD$9&lt;90,$CE$6:$CE$9=$CE$6,$CF$8=$CF$9,$CF$7&lt;&gt;$CF$8),1,0)</f>
        <v>0</v>
      </c>
      <c r="CV9" s="11" t="n">
        <f aca="false" t="array" ref="CV9:CV9">IF(AND($CC$6:$CC$8=$CC$6,$CD$6:$CD$7&lt;90,$CC$8&lt;&gt;$CC$9),1,0)</f>
        <v>0</v>
      </c>
      <c r="CW9" s="11" t="n">
        <f aca="false" t="array" ref="CW9:CW9">IF(AND($CC$7&lt;&gt;$CC$6,$CC$7:$CC$9=$CC$8,$CD$7&gt;90,$CD$8:$CD$9&lt;90),1,0)</f>
        <v>0</v>
      </c>
      <c r="CX9" s="11" t="n">
        <f aca="false" t="array" ref="CX9:CX9">IF(AND($CC$7&lt;&gt;$CC$6,$CC$7:$CC$9=$CC$7,$CD$9&gt;90,$CD$7:$CD$8&lt;90),1,0)</f>
        <v>0</v>
      </c>
      <c r="CY9" s="11" t="n">
        <f aca="false" t="array" ref="CY9:CY9">IF(AND($CC$9&lt;&gt;$CC$7,$CC$9&lt;&gt;$CC$8),1,0)</f>
        <v>1</v>
      </c>
      <c r="CZ9" s="11" t="n">
        <f aca="false" t="array" ref="CZ9:CZ9">IF(AND($CC$6:$CC$9=$CC$7,$CD$7:$CD$9&lt;90,$CD$6&lt;&gt;$CD$9),1,0)</f>
        <v>0</v>
      </c>
      <c r="DA9" s="11" t="n">
        <f aca="false" t="array" ref="DA9:DA9">IF(AND($CC$6:$CC$9=$CC$6,$CD$6:$CD$8&lt;90,$CD$8&lt;&gt;$CD$9),1,0)</f>
        <v>0</v>
      </c>
      <c r="DB9" s="11" t="n">
        <f aca="false" t="array" ref="DB9:DB9">IF(AND($CC$6:$CC$9=$CC$9,$CD$6:$CD$7&gt;90,$CD$8:$CD$9&lt;90,$CE$6:$CE$9=$CE$9,$CF$6&gt;$CF$7,$CF$7&gt;$CF$9,$CF$8=$CF$9),1,0)</f>
        <v>0</v>
      </c>
      <c r="DC9" s="11" t="n">
        <f aca="false" t="array" ref="DC9:DC9">IF(AND($CC$6:$CC$9=$CC$7,$CD$6&gt;90,$CD$7:$CD$8&lt;90,$CD$9&gt;90,$CE$6:$CE$9=$CE$9,$CF$6&gt;$CF$9,$CF$7=$CF$8,$CF$7&gt;$CF$9),1,0)</f>
        <v>0</v>
      </c>
      <c r="DD9" s="11" t="n">
        <f aca="false" t="array" ref="DD9:DD9">IF(AND($CC$6:$CC$9=$CC$9,$CD$6:$CD$7&lt;90,$CD$8:$CD$9&gt;90,$CE$6:$CE$9=$CE$9,$CF$6=$CF$7,$CF$7&gt;$CF$8,$CF$8&gt;$CF$9),1,0)</f>
        <v>0</v>
      </c>
      <c r="DE9" s="11" t="n">
        <f aca="false" t="array" ref="DE9:DE9">IF(AND($CC$6:$CC$9=$CC$9,$CD$6:$CD$7&gt;90,$CD$8:$CD$9&lt;90,$CE$6:$CE$9=$CE$9,$CF$6&gt;$CF$9,$CF$7:$CF$9=$CF$9),1,0)</f>
        <v>0</v>
      </c>
      <c r="DF9" s="11" t="n">
        <f aca="false" t="array" ref="DF9:DF9">IF(AND($CC$6:$CC$9=$CC$9,$CD$6:$CD$7&lt;90,$CD$8:$CD$9&gt;90,$CE$6:$CE$9=$CE$9,$CF$6:$CF$8=$CF$8,$CF$6:$CF$8&gt;$CF$9),1,0)</f>
        <v>0</v>
      </c>
      <c r="DG9" s="11" t="n">
        <f aca="false" t="array" ref="DG9:DG9">IF(AND($CC$6:$CC$9=$CC$9,$CD$6&gt;90,$CD$9&gt;90,$CD$7:$CD$8&lt;90,$CE$6:$CE$9=$CE$9,$CF$6&gt;$CF$7:$CF$9,$CF$7:$CF$9=$CF$9),1,0)</f>
        <v>0</v>
      </c>
      <c r="FI9" s="73"/>
      <c r="FK9" s="73"/>
      <c r="FM9" s="73"/>
    </row>
    <row r="10" s="11" customFormat="true" ht="15" hidden="false" customHeight="true" outlineLevel="0" collapsed="false">
      <c r="A10" s="12"/>
      <c r="B10" s="33"/>
      <c r="C10" s="12"/>
      <c r="D10" s="35"/>
      <c r="E10" s="91"/>
      <c r="F10" s="92"/>
      <c r="G10" s="91"/>
      <c r="H10" s="93"/>
      <c r="I10" s="94"/>
      <c r="J10" s="45"/>
      <c r="K10" s="45"/>
      <c r="L10" s="45"/>
      <c r="M10" s="45"/>
      <c r="N10" s="95"/>
      <c r="O10" s="96"/>
      <c r="P10" s="45"/>
      <c r="Q10" s="97"/>
      <c r="R10" s="98"/>
      <c r="S10" s="99"/>
      <c r="T10" s="97"/>
      <c r="U10" s="97"/>
      <c r="V10" s="97"/>
      <c r="W10" s="97"/>
      <c r="X10" s="97"/>
      <c r="Y10" s="97"/>
      <c r="Z10" s="97"/>
      <c r="AA10" s="100"/>
      <c r="AB10" s="70"/>
      <c r="AC10" s="70"/>
      <c r="AD10" s="70"/>
      <c r="AE10" s="71"/>
      <c r="AF10" s="24"/>
      <c r="AI10" s="10"/>
      <c r="AV10" s="11" t="s">
        <v>80</v>
      </c>
      <c r="AW10" s="31" t="n">
        <v>100</v>
      </c>
      <c r="AY10" s="72"/>
      <c r="BB10" s="73"/>
      <c r="BC10" s="73"/>
      <c r="BD10" s="73"/>
      <c r="BE10" s="73"/>
      <c r="BF10" s="73"/>
      <c r="BG10" s="73"/>
      <c r="BH10" s="73"/>
      <c r="BI10" s="73"/>
      <c r="BJ10" s="73"/>
      <c r="BK10" s="73"/>
      <c r="BL10" s="73"/>
      <c r="BM10" s="73"/>
      <c r="BN10" s="73"/>
      <c r="BO10" s="73"/>
      <c r="BP10" s="73"/>
      <c r="BQ10" s="73"/>
      <c r="BR10" s="73"/>
      <c r="BS10" s="73"/>
      <c r="BT10" s="10"/>
      <c r="BU10" s="10"/>
      <c r="BV10" s="10"/>
      <c r="BW10" s="10"/>
      <c r="BX10" s="10"/>
      <c r="BY10" s="10"/>
      <c r="BZ10" s="10"/>
      <c r="CA10" s="10"/>
      <c r="CB10" s="10"/>
      <c r="CC10" s="10"/>
      <c r="CD10" s="10"/>
      <c r="CE10" s="10"/>
      <c r="CF10" s="10"/>
      <c r="CG10" s="10"/>
      <c r="CH10" s="10"/>
      <c r="FK10" s="73"/>
      <c r="FM10" s="73"/>
    </row>
    <row r="11" s="11" customFormat="true" ht="15.75" hidden="false" customHeight="false" outlineLevel="0" collapsed="false">
      <c r="A11" s="12"/>
      <c r="B11" s="33"/>
      <c r="C11" s="12"/>
      <c r="D11" s="15"/>
      <c r="E11" s="25"/>
      <c r="F11" s="26" t="str">
        <f aca="false">F3</f>
        <v>Fecha</v>
      </c>
      <c r="G11" s="26" t="str">
        <f aca="false">G3</f>
        <v>Hora</v>
      </c>
      <c r="H11" s="27" t="str">
        <f aca="false">H3</f>
        <v>Jor.</v>
      </c>
      <c r="I11" s="28" t="str">
        <f aca="false">I3</f>
        <v>Casa</v>
      </c>
      <c r="J11" s="26"/>
      <c r="K11" s="29" t="str">
        <f aca="false">K3</f>
        <v>Gol</v>
      </c>
      <c r="L11" s="29" t="str">
        <f aca="false">L3</f>
        <v>Gol</v>
      </c>
      <c r="M11" s="29"/>
      <c r="N11" s="30" t="str">
        <f aca="false">N3</f>
        <v>Fuera</v>
      </c>
      <c r="O11" s="22"/>
      <c r="P11" s="21"/>
      <c r="Q11" s="21"/>
      <c r="R11" s="21"/>
      <c r="S11" s="21"/>
      <c r="T11" s="21"/>
      <c r="U11" s="21"/>
      <c r="V11" s="21"/>
      <c r="W11" s="21"/>
      <c r="X11" s="21"/>
      <c r="Y11" s="21"/>
      <c r="Z11" s="21"/>
      <c r="AA11" s="101"/>
      <c r="AB11" s="22"/>
      <c r="AC11" s="22"/>
      <c r="AD11" s="22"/>
      <c r="AE11" s="23"/>
      <c r="AF11" s="24"/>
      <c r="AV11" s="11" t="s">
        <v>81</v>
      </c>
      <c r="AW11" s="31" t="n">
        <v>1</v>
      </c>
      <c r="CH11" s="10"/>
      <c r="CL11" s="24" t="n">
        <v>1</v>
      </c>
      <c r="CM11" s="24" t="n">
        <v>12</v>
      </c>
      <c r="CN11" s="24" t="n">
        <v>18</v>
      </c>
      <c r="CO11" s="24" t="n">
        <v>19</v>
      </c>
      <c r="CP11" s="24" t="n">
        <v>13</v>
      </c>
      <c r="CQ11" s="24" t="n">
        <v>20</v>
      </c>
      <c r="CR11" s="24" t="n">
        <v>21</v>
      </c>
      <c r="CS11" s="24" t="n">
        <v>22</v>
      </c>
      <c r="CT11" s="24" t="n">
        <v>3</v>
      </c>
      <c r="CU11" s="24" t="n">
        <v>2</v>
      </c>
      <c r="CV11" s="24" t="n">
        <v>14</v>
      </c>
      <c r="CW11" s="24" t="n">
        <v>17</v>
      </c>
      <c r="CX11" s="24" t="n">
        <v>16</v>
      </c>
      <c r="CY11" s="24" t="n">
        <v>15</v>
      </c>
      <c r="CZ11" s="24" t="n">
        <v>4</v>
      </c>
      <c r="DA11" s="24" t="n">
        <v>5</v>
      </c>
      <c r="DB11" s="24" t="n">
        <v>10</v>
      </c>
      <c r="DC11" s="24" t="n">
        <v>8</v>
      </c>
      <c r="DD11" s="24" t="n">
        <v>6</v>
      </c>
      <c r="DE11" s="24" t="n">
        <v>11</v>
      </c>
      <c r="DF11" s="24" t="n">
        <v>7</v>
      </c>
      <c r="DG11" s="24" t="n">
        <v>9</v>
      </c>
      <c r="DH11" s="24"/>
      <c r="DI11" s="24"/>
      <c r="EC11" s="10" t="s">
        <v>19</v>
      </c>
      <c r="ED11" s="10" t="s">
        <v>20</v>
      </c>
      <c r="EE11" s="10" t="s">
        <v>21</v>
      </c>
      <c r="EF11" s="10" t="s">
        <v>22</v>
      </c>
      <c r="EG11" s="10" t="s">
        <v>23</v>
      </c>
      <c r="EH11" s="10" t="s">
        <v>24</v>
      </c>
      <c r="EI11" s="10" t="s">
        <v>25</v>
      </c>
      <c r="EJ11" s="10" t="s">
        <v>26</v>
      </c>
      <c r="EK11" s="10" t="s">
        <v>27</v>
      </c>
      <c r="EL11" s="10" t="s">
        <v>28</v>
      </c>
    </row>
    <row r="12" s="11" customFormat="true" ht="15" hidden="false" customHeight="true" outlineLevel="0" collapsed="false">
      <c r="A12" s="32" t="s">
        <v>29</v>
      </c>
      <c r="B12" s="33" t="s">
        <v>82</v>
      </c>
      <c r="C12" s="34" t="n">
        <f aca="false">COUNTIF(Equipos!$C$2:$C$33,MUNDIAL!B12)</f>
        <v>4</v>
      </c>
      <c r="D12" s="35"/>
      <c r="E12" s="102" t="s">
        <v>82</v>
      </c>
      <c r="F12" s="103" t="n">
        <f aca="false">Horarios!C12</f>
        <v>44886.6666666667</v>
      </c>
      <c r="G12" s="104" t="n">
        <f aca="false">Horarios!C12</f>
        <v>44886.6666666667</v>
      </c>
      <c r="H12" s="103" t="s">
        <v>31</v>
      </c>
      <c r="I12" s="105" t="str">
        <f aca="false">A13</f>
        <v>Inglaterra</v>
      </c>
      <c r="J12" s="106" t="str">
        <f aca="false">VLOOKUP(I12,Equipos!$H$2:$I$33,2,0)</f>
        <v>🏴󠁧󠁢󠁥󠁮󠁧󠁿</v>
      </c>
      <c r="K12" s="107" t="n">
        <v>6</v>
      </c>
      <c r="L12" s="107" t="n">
        <v>2</v>
      </c>
      <c r="M12" s="108" t="str">
        <f aca="false">VLOOKUP(N12,Equipos!$H$2:$I$33,2,0)</f>
        <v>🇮🇷</v>
      </c>
      <c r="N12" s="109" t="str">
        <f aca="false">A14</f>
        <v>Irán</v>
      </c>
      <c r="O12" s="44" t="n">
        <f aca="false">IF(NOT(OR(ISBLANK(K12),ISBLANK(L12))),1,0)</f>
        <v>1</v>
      </c>
      <c r="P12" s="45"/>
      <c r="Q12" s="110" t="str">
        <f aca="false">CONCATENATE("Grupo"," ",B12)</f>
        <v>Grupo B</v>
      </c>
      <c r="R12" s="110"/>
      <c r="S12" s="110"/>
      <c r="T12" s="110"/>
      <c r="U12" s="110"/>
      <c r="V12" s="110"/>
      <c r="W12" s="110"/>
      <c r="X12" s="110"/>
      <c r="Y12" s="110"/>
      <c r="Z12" s="110"/>
      <c r="AA12" s="111"/>
      <c r="AB12" s="48" t="s">
        <v>32</v>
      </c>
      <c r="AC12" s="48"/>
      <c r="AD12" s="48"/>
      <c r="AE12" s="23"/>
      <c r="AF12" s="24"/>
      <c r="AH12" s="11" t="str">
        <f aca="false">CONCATENATE("Auxiliar - ",Q12)</f>
        <v>Auxiliar - Grupo B</v>
      </c>
      <c r="AU12" s="11" t="s">
        <v>33</v>
      </c>
      <c r="AW12" s="31"/>
      <c r="AY12" s="24" t="str">
        <f aca="false">CONCATENATE(Q12," - GOLAVERAGE")</f>
        <v>Grupo B - GOLAVERAGE</v>
      </c>
      <c r="BB12" s="11" t="s">
        <v>35</v>
      </c>
      <c r="BH12" s="11" t="s">
        <v>36</v>
      </c>
      <c r="BN12" s="11" t="s">
        <v>37</v>
      </c>
      <c r="BO12" s="73"/>
      <c r="BP12" s="73"/>
      <c r="BQ12" s="73"/>
      <c r="BR12" s="73"/>
      <c r="BS12" s="73"/>
      <c r="BT12" s="10"/>
      <c r="BU12" s="10"/>
      <c r="BV12" s="10"/>
      <c r="BW12" s="10"/>
      <c r="BX12" s="10"/>
      <c r="BY12" s="10"/>
      <c r="BZ12" s="10"/>
      <c r="CA12" s="10"/>
      <c r="CB12" s="10"/>
      <c r="CC12" s="10"/>
      <c r="CD12" s="10"/>
      <c r="CE12" s="10"/>
      <c r="CF12" s="10"/>
      <c r="CG12" s="10"/>
      <c r="CH12" s="10"/>
      <c r="CI12" s="11" t="s">
        <v>38</v>
      </c>
      <c r="CK12" s="11" t="s">
        <v>39</v>
      </c>
      <c r="CL12" s="11" t="n">
        <f aca="false">SUM(CL14:CL17)</f>
        <v>0</v>
      </c>
      <c r="CM12" s="11" t="n">
        <f aca="false">SUM(CM14:CM17)</f>
        <v>0</v>
      </c>
      <c r="CN12" s="11" t="n">
        <f aca="false">SUM(CN14:CN17)</f>
        <v>0</v>
      </c>
      <c r="CO12" s="11" t="n">
        <f aca="false">SUM(CO14:CO17)</f>
        <v>2</v>
      </c>
      <c r="CP12" s="11" t="n">
        <f aca="false">SUM(CP14:CP17)</f>
        <v>0</v>
      </c>
      <c r="CQ12" s="11" t="n">
        <f aca="false">SUM(CQ14:CQ17)</f>
        <v>2</v>
      </c>
      <c r="CR12" s="11" t="n">
        <f aca="false">SUM(CR14:CR17)</f>
        <v>2</v>
      </c>
      <c r="CS12" s="11" t="n">
        <f aca="false">SUM(CS14:CS17)</f>
        <v>4</v>
      </c>
      <c r="CT12" s="11" t="n">
        <f aca="false">SUM(CT14:CT17)</f>
        <v>0</v>
      </c>
      <c r="CU12" s="11" t="n">
        <f aca="false">SUM(CU14:CU17)</f>
        <v>0</v>
      </c>
      <c r="CV12" s="11" t="n">
        <f aca="false">SUM(CV14:CV17)</f>
        <v>0</v>
      </c>
      <c r="CW12" s="11" t="n">
        <f aca="false">SUM(CW14:CW17)</f>
        <v>1</v>
      </c>
      <c r="CX12" s="11" t="n">
        <f aca="false">SUM(CX14:CX17)</f>
        <v>1</v>
      </c>
      <c r="CY12" s="11" t="n">
        <f aca="false">SUM(CY14:CY17)</f>
        <v>1</v>
      </c>
      <c r="CZ12" s="11" t="n">
        <f aca="false">SUM(CZ14:CZ17)</f>
        <v>0</v>
      </c>
      <c r="DA12" s="11" t="n">
        <f aca="false">SUM(DA14:DA17)</f>
        <v>0</v>
      </c>
      <c r="DB12" s="11" t="n">
        <f aca="false">SUM(DB14:DB17)</f>
        <v>0</v>
      </c>
      <c r="DC12" s="11" t="n">
        <f aca="false">SUM(DC14:DC17)</f>
        <v>0</v>
      </c>
      <c r="DD12" s="11" t="n">
        <f aca="false">SUM(DD14:DD17)</f>
        <v>0</v>
      </c>
      <c r="DE12" s="11" t="n">
        <f aca="false">SUM(DE14:DE17)</f>
        <v>0</v>
      </c>
      <c r="DF12" s="11" t="n">
        <f aca="false">SUM(DF14:DF17)</f>
        <v>0</v>
      </c>
      <c r="DG12" s="11" t="n">
        <f aca="false">SUM(DG14:DG17)</f>
        <v>0</v>
      </c>
      <c r="EC12" s="10" t="n">
        <v>1234</v>
      </c>
      <c r="ED12" s="10" t="n">
        <v>123</v>
      </c>
      <c r="EE12" s="10" t="n">
        <v>12</v>
      </c>
      <c r="EF12" s="10" t="n">
        <v>234</v>
      </c>
      <c r="EG12" s="10" t="n">
        <v>34</v>
      </c>
      <c r="EH12" s="10" t="n">
        <v>23</v>
      </c>
      <c r="EI12" s="10" t="n">
        <v>1</v>
      </c>
      <c r="EJ12" s="10" t="n">
        <v>2</v>
      </c>
      <c r="EK12" s="10" t="n">
        <v>3</v>
      </c>
      <c r="EL12" s="10" t="n">
        <v>4</v>
      </c>
      <c r="FM12" s="73"/>
    </row>
    <row r="13" s="11" customFormat="true" ht="15.75" hidden="false" customHeight="false" outlineLevel="0" collapsed="false">
      <c r="A13" s="32" t="str">
        <f aca="true" t="array" ref="A13:A13">IF(ROWS(A$13:A13)&lt;=$C$12,INDEX(INDIRECT(A$12),SMALL(IF(Nivell=$B$12,ROW(Nivell)-ROW(Equipos!$C$2)+1),ROWS(B$12:B12))),"")</f>
        <v>Inglaterra</v>
      </c>
      <c r="B13" s="33"/>
      <c r="C13" s="33"/>
      <c r="D13" s="35"/>
      <c r="E13" s="102"/>
      <c r="F13" s="112" t="n">
        <f aca="false">Horarios!C13</f>
        <v>44886.9166666667</v>
      </c>
      <c r="G13" s="113" t="n">
        <f aca="false">Horarios!C13</f>
        <v>44886.9166666667</v>
      </c>
      <c r="H13" s="112" t="s">
        <v>31</v>
      </c>
      <c r="I13" s="114" t="str">
        <f aca="false">A15</f>
        <v>Estados unidos</v>
      </c>
      <c r="J13" s="115" t="str">
        <f aca="false">VLOOKUP(I13,Equipos!$H$2:$I$33,2,0)</f>
        <v>🇺🇸</v>
      </c>
      <c r="K13" s="116" t="n">
        <v>1</v>
      </c>
      <c r="L13" s="116" t="n">
        <v>1</v>
      </c>
      <c r="M13" s="117" t="str">
        <f aca="false">VLOOKUP(N13,Equipos!$H$2:$I$33,2,0)</f>
        <v>🏴󠁧󠁢󠁷󠁬󠁳󠁿</v>
      </c>
      <c r="N13" s="118" t="str">
        <f aca="false">A16</f>
        <v>Gales</v>
      </c>
      <c r="O13" s="44" t="n">
        <f aca="false">IF(NOT(OR(ISBLANK(K13),ISBLANK(L13))),1,0)</f>
        <v>1</v>
      </c>
      <c r="P13" s="45"/>
      <c r="Q13" s="119" t="s">
        <v>40</v>
      </c>
      <c r="R13" s="120" t="s">
        <v>41</v>
      </c>
      <c r="S13" s="121" t="s">
        <v>42</v>
      </c>
      <c r="T13" s="121" t="s">
        <v>43</v>
      </c>
      <c r="U13" s="121" t="s">
        <v>44</v>
      </c>
      <c r="V13" s="121" t="s">
        <v>45</v>
      </c>
      <c r="W13" s="121" t="s">
        <v>46</v>
      </c>
      <c r="X13" s="121" t="s">
        <v>47</v>
      </c>
      <c r="Y13" s="121" t="s">
        <v>48</v>
      </c>
      <c r="Z13" s="122" t="s">
        <v>49</v>
      </c>
      <c r="AA13" s="111" t="n">
        <f aca="false">COUNTIF(AA14:AA17,"&lt;100")</f>
        <v>0</v>
      </c>
      <c r="AB13" s="48"/>
      <c r="AC13" s="48"/>
      <c r="AD13" s="48"/>
      <c r="AE13" s="23"/>
      <c r="AF13" s="24"/>
      <c r="AG13" s="60" t="s">
        <v>33</v>
      </c>
      <c r="AH13" s="60" t="s">
        <v>50</v>
      </c>
      <c r="AI13" s="60" t="s">
        <v>51</v>
      </c>
      <c r="AJ13" s="60" t="s">
        <v>52</v>
      </c>
      <c r="AK13" s="60" t="s">
        <v>43</v>
      </c>
      <c r="AL13" s="60" t="s">
        <v>44</v>
      </c>
      <c r="AM13" s="60" t="s">
        <v>45</v>
      </c>
      <c r="AN13" s="60" t="s">
        <v>46</v>
      </c>
      <c r="AO13" s="60" t="s">
        <v>47</v>
      </c>
      <c r="AP13" s="60" t="s">
        <v>48</v>
      </c>
      <c r="AQ13" s="60" t="s">
        <v>53</v>
      </c>
      <c r="AR13" s="60" t="s">
        <v>54</v>
      </c>
      <c r="AS13" s="60" t="s">
        <v>50</v>
      </c>
      <c r="AW13" s="31"/>
      <c r="AY13" s="60" t="s">
        <v>51</v>
      </c>
      <c r="AZ13" s="60" t="s">
        <v>56</v>
      </c>
      <c r="BA13" s="60" t="s">
        <v>57</v>
      </c>
      <c r="BB13" s="60" t="s">
        <v>58</v>
      </c>
      <c r="BC13" s="60" t="s">
        <v>59</v>
      </c>
      <c r="BD13" s="60" t="str">
        <f aca="false">AY14</f>
        <v>Inglaterra</v>
      </c>
      <c r="BE13" s="60" t="str">
        <f aca="false">AY15</f>
        <v>Irán</v>
      </c>
      <c r="BF13" s="60" t="str">
        <f aca="false">AY16</f>
        <v>Estados unidos</v>
      </c>
      <c r="BG13" s="60" t="str">
        <f aca="false">AY17</f>
        <v>Gales</v>
      </c>
      <c r="BH13" s="60" t="s">
        <v>58</v>
      </c>
      <c r="BI13" s="60" t="s">
        <v>59</v>
      </c>
      <c r="BJ13" s="60" t="str">
        <f aca="false">BD13</f>
        <v>Inglaterra</v>
      </c>
      <c r="BK13" s="60" t="str">
        <f aca="false">BE13</f>
        <v>Irán</v>
      </c>
      <c r="BL13" s="60" t="str">
        <f aca="false">BF13</f>
        <v>Estados unidos</v>
      </c>
      <c r="BM13" s="60" t="str">
        <f aca="false">BG13</f>
        <v>Gales</v>
      </c>
      <c r="BN13" s="60" t="s">
        <v>58</v>
      </c>
      <c r="BO13" s="60" t="s">
        <v>59</v>
      </c>
      <c r="BP13" s="60" t="str">
        <f aca="false">BD13</f>
        <v>Inglaterra</v>
      </c>
      <c r="BQ13" s="60" t="str">
        <f aca="false">BE13</f>
        <v>Irán</v>
      </c>
      <c r="BR13" s="60" t="str">
        <f aca="false">BF13</f>
        <v>Estados unidos</v>
      </c>
      <c r="BS13" s="60" t="str">
        <f aca="false">BG13</f>
        <v>Gales</v>
      </c>
      <c r="BT13" s="10"/>
      <c r="BU13" s="61"/>
      <c r="BV13" s="61" t="s">
        <v>60</v>
      </c>
      <c r="BW13" s="61"/>
      <c r="BX13" s="61" t="s">
        <v>62</v>
      </c>
      <c r="BY13" s="61"/>
      <c r="BZ13" s="10"/>
      <c r="CA13" s="61"/>
      <c r="CB13" s="61" t="s">
        <v>51</v>
      </c>
      <c r="CC13" s="61" t="s">
        <v>52</v>
      </c>
      <c r="CD13" s="61" t="s">
        <v>63</v>
      </c>
      <c r="CE13" s="61" t="s">
        <v>53</v>
      </c>
      <c r="CF13" s="61" t="s">
        <v>64</v>
      </c>
      <c r="CG13" s="61"/>
      <c r="CH13" s="10"/>
      <c r="CK13" s="11" t="s">
        <v>65</v>
      </c>
      <c r="CL13" s="11" t="s">
        <v>66</v>
      </c>
      <c r="CM13" s="11" t="s">
        <v>67</v>
      </c>
      <c r="CN13" s="11" t="s">
        <v>68</v>
      </c>
      <c r="CO13" s="11" t="s">
        <v>69</v>
      </c>
      <c r="CP13" s="11" t="s">
        <v>70</v>
      </c>
      <c r="CQ13" s="11" t="s">
        <v>71</v>
      </c>
      <c r="CR13" s="11" t="s">
        <v>72</v>
      </c>
      <c r="CS13" s="11" t="s">
        <v>73</v>
      </c>
      <c r="CT13" s="11" t="s">
        <v>68</v>
      </c>
      <c r="CU13" s="11" t="s">
        <v>68</v>
      </c>
      <c r="CV13" s="11" t="s">
        <v>69</v>
      </c>
      <c r="CW13" s="11" t="s">
        <v>72</v>
      </c>
      <c r="CX13" s="11" t="s">
        <v>71</v>
      </c>
      <c r="CY13" s="11" t="s">
        <v>71</v>
      </c>
      <c r="CZ13" s="11" t="s">
        <v>70</v>
      </c>
      <c r="DA13" s="11" t="s">
        <v>67</v>
      </c>
      <c r="DB13" s="11" t="s">
        <v>72</v>
      </c>
      <c r="DC13" s="11" t="s">
        <v>71</v>
      </c>
      <c r="DD13" s="11" t="s">
        <v>69</v>
      </c>
      <c r="DE13" s="11" t="s">
        <v>72</v>
      </c>
      <c r="DF13" s="11" t="s">
        <v>69</v>
      </c>
      <c r="DG13" s="11" t="s">
        <v>71</v>
      </c>
      <c r="EC13" s="10" t="n">
        <v>1</v>
      </c>
      <c r="ED13" s="10" t="n">
        <v>1</v>
      </c>
      <c r="EE13" s="10" t="n">
        <v>1</v>
      </c>
      <c r="EF13" s="10" t="n">
        <v>2</v>
      </c>
      <c r="EG13" s="10" t="n">
        <v>3</v>
      </c>
      <c r="EH13" s="10" t="n">
        <v>2</v>
      </c>
      <c r="EI13" s="10" t="n">
        <v>1</v>
      </c>
      <c r="EJ13" s="10" t="n">
        <v>2</v>
      </c>
      <c r="EK13" s="10" t="n">
        <v>3</v>
      </c>
      <c r="EL13" s="10" t="n">
        <v>4</v>
      </c>
      <c r="FI13" s="60"/>
      <c r="FK13" s="60"/>
      <c r="FM13" s="60"/>
    </row>
    <row r="14" s="11" customFormat="true" ht="15" hidden="false" customHeight="false" outlineLevel="0" collapsed="false">
      <c r="A14" s="32" t="str">
        <f aca="true" t="array" ref="A14:A14">IF(ROWS(A$13:A14)&lt;=$C$12,INDEX(INDIRECT(A$12),SMALL(IF(Nivell=$B$12,ROW(Nivell)-ROW(Equipos!$C$2)+1),ROWS(B$12:B13))),"")</f>
        <v>Irán</v>
      </c>
      <c r="B14" s="33"/>
      <c r="C14" s="62"/>
      <c r="D14" s="35"/>
      <c r="E14" s="102"/>
      <c r="F14" s="112" t="n">
        <f aca="false">Horarios!C14</f>
        <v>44890.5416666667</v>
      </c>
      <c r="G14" s="113" t="n">
        <f aca="false">Horarios!C14</f>
        <v>44890.5416666667</v>
      </c>
      <c r="H14" s="112" t="s">
        <v>74</v>
      </c>
      <c r="I14" s="114" t="str">
        <f aca="false">A16</f>
        <v>Gales</v>
      </c>
      <c r="J14" s="115" t="str">
        <f aca="false">VLOOKUP(I14,Equipos!$H$2:$I$33,2,0)</f>
        <v>🏴󠁧󠁢󠁷󠁬󠁳󠁿</v>
      </c>
      <c r="K14" s="116" t="n">
        <v>0</v>
      </c>
      <c r="L14" s="116" t="n">
        <v>2</v>
      </c>
      <c r="M14" s="117" t="str">
        <f aca="false">VLOOKUP(N14,Equipos!$H$2:$I$33,2,0)</f>
        <v>🇮🇷</v>
      </c>
      <c r="N14" s="118" t="str">
        <f aca="false">A14</f>
        <v>Irán</v>
      </c>
      <c r="O14" s="44" t="n">
        <f aca="false">IF(NOT(OR(ISBLANK(K14),ISBLANK(L14))),1,0)</f>
        <v>1</v>
      </c>
      <c r="P14" s="45"/>
      <c r="Q14" s="123" t="n">
        <v>1</v>
      </c>
      <c r="R14" s="124" t="str">
        <f aca="false">VLOOKUP(Q14,$AG$14:$AI$17,3,0)</f>
        <v>Inglaterra</v>
      </c>
      <c r="S14" s="125" t="n">
        <f aca="false">VLOOKUP(R14,$AI$14:$AR$17,2,0)</f>
        <v>7</v>
      </c>
      <c r="T14" s="125" t="n">
        <f aca="false">VLOOKUP($R14,$AI$14:$AR$17,3,0)</f>
        <v>3</v>
      </c>
      <c r="U14" s="125" t="n">
        <f aca="false">VLOOKUP($R14,$AI$14:$AR$17,4,0)</f>
        <v>2</v>
      </c>
      <c r="V14" s="125" t="n">
        <f aca="false">VLOOKUP($R14,$AI$14:$AR$17,5,0)</f>
        <v>1</v>
      </c>
      <c r="W14" s="125" t="n">
        <f aca="false">VLOOKUP($R14,$AI$14:$AR$17,6,0)</f>
        <v>0</v>
      </c>
      <c r="X14" s="125" t="n">
        <f aca="false">VLOOKUP($R14,$AI$14:$AR$17,7,0)</f>
        <v>9</v>
      </c>
      <c r="Y14" s="125" t="n">
        <f aca="false">VLOOKUP($R14,$AI$14:$AR$17,8,0)</f>
        <v>2</v>
      </c>
      <c r="Z14" s="126" t="n">
        <f aca="false">VLOOKUP($R14,$AI$14:$AR$17,9,0)</f>
        <v>7</v>
      </c>
      <c r="AA14" s="67" t="n">
        <f aca="false">IF(SUM($AK$14:$AK$17)=12,MIN(ABS(BY13-BY14),ABS(BY14-BY15)),100)</f>
        <v>2259000000.02</v>
      </c>
      <c r="AB14" s="68" t="str">
        <f aca="false">IF(AND(AA14&gt;=0,AA14&lt;90),VLOOKUP(Q14,$BU$14:$BV$17,2,0),"")</f>
        <v/>
      </c>
      <c r="AC14" s="69"/>
      <c r="AD14" s="70"/>
      <c r="AE14" s="71"/>
      <c r="AF14" s="24" t="n">
        <f aca="false">VLOOKUP($R14,$AI$14:$AR$17,10,0)</f>
        <v>7821210499.95</v>
      </c>
      <c r="AG14" s="11" t="n">
        <f aca="false">RANK(AU14,$AU$14:$AU$17)</f>
        <v>1</v>
      </c>
      <c r="AH14" s="11" t="n">
        <f aca="false">RANK(AR14,$AR$14:$AR$17)</f>
        <v>1</v>
      </c>
      <c r="AI14" s="10" t="str">
        <f aca="false">A13</f>
        <v>Inglaterra</v>
      </c>
      <c r="AJ14" s="11" t="n">
        <f aca="false">AL14*3+AM14*1+AN14*0</f>
        <v>7</v>
      </c>
      <c r="AK14" s="11" t="n">
        <f aca="false">COUNTIFS($I$4:$I$65,AI14,$K$4:$K$65,"&lt;&gt;",$L$4:$L$65,"&lt;&gt;")+COUNTIFS($N$4:$N$65,AI14,$L$4:$L$65,"&lt;&gt;",$K$4:$K$65,"&lt;&gt;")</f>
        <v>3</v>
      </c>
      <c r="AL14" s="11" t="n">
        <f aca="false" t="array" ref="AL14:AL14">SUM(($I$4:$I$65=AI14)*($K$4:$K$65&lt;&gt;"")*($L$4:$L$65&lt;&gt;"")*($K$4:$K$65&gt;$L$4:$L$65),($N$4:$N$65=AI14)*($K$4:$K$65&lt;&gt;"")*($L$4:$L$65&lt;&gt;"")*($K$4:$K$65&lt;$L$4:$L$65))</f>
        <v>2</v>
      </c>
      <c r="AM14" s="11" t="n">
        <f aca="false" t="array" ref="AM14:AM14">SUM(($I$4:$I$65=AI14)*($K$4:$K$65&lt;&gt;"")*($L$4:$L$65&lt;&gt;"")*($K$4:$K$65=$L$4:$L$65),($N$4:$N$65=AI14)*($K$4:$K$65&lt;&gt;"")*($L$4:$L$65&lt;&gt;"")*($K$4:$K$65=$L$4:$L$65))</f>
        <v>1</v>
      </c>
      <c r="AN14" s="11" t="n">
        <f aca="false" t="array" ref="AN14:AN14">SUM(($I$4:$I$65=AI14)*($L$4:$L$65&lt;&gt;"")*($K$4:$K$65&lt;&gt;"")*($K$4:$K$65&lt;$L$4:$L$65),($K$4:$K$65&lt;&gt;"")*($N$4:$N$65=AI14)*($L$4:$L$65&lt;&gt;"")*($K$4:$K$65&gt;$L$4:$L$65))</f>
        <v>0</v>
      </c>
      <c r="AO14" s="11" t="n">
        <f aca="false" t="array" ref="AO14:AO14">SUMIFS($K$4:$K$65,$I$4:$I$65,AI14,$K$4:$K$65,"&lt;&gt;",$L$4:$L$65,"&lt;&gt;")+SUMIFS($L$4:$L$65,$N$4:$N$65,AI14,$K$4:$K$65,"&lt;&gt;",$L$4:$L$65,"&lt;&gt;")</f>
        <v>9</v>
      </c>
      <c r="AP14" s="11" t="n">
        <f aca="false" t="array" ref="AP14:AP14">SUMIFS($K$4:$K$65,$N$4:$N$65,AI14,$K$4:$K$65,"&lt;&gt;",$L$4:$L$65,"&lt;&gt;")+SUMIFS($L$4:$L$65,$I$4:$I$65,AI14,$K$4:$K$65,"&lt;&gt;",$L$4:$L$65,"&lt;&gt;")</f>
        <v>2</v>
      </c>
      <c r="AQ14" s="11" t="n">
        <f aca="false">AO14-AP14</f>
        <v>7</v>
      </c>
      <c r="AR14" s="11" t="n">
        <f aca="false">IF(AK14=0,-($AW$11*VLOOKUP(AI14,Tabla3[[NombreEquipo]:[Rank]],3,0)),AJ14*$AW$4+AQ14*$AW$5+AO14*$AW$6+BA14-($AW$11*VLOOKUP(AI14,Tabla3[[NombreEquipo]:[Rank]],3,0)/100))</f>
        <v>7821210499.95</v>
      </c>
      <c r="AS14" s="11" t="n">
        <f aca="false">AH14</f>
        <v>1</v>
      </c>
      <c r="AU14" s="11" t="n">
        <f aca="false">IFERROR(AR14-VLOOKUP(AI14,$AB$14:$AC$17,2,0),AR14)</f>
        <v>7821210499.95</v>
      </c>
      <c r="AW14" s="31"/>
      <c r="AY14" s="72" t="str">
        <f aca="false">AI14</f>
        <v>Inglaterra</v>
      </c>
      <c r="AZ14" s="11" t="n">
        <f aca="false">COUNTIF(AJ14:AJ17,AJ14)</f>
        <v>1</v>
      </c>
      <c r="BA14" s="11" t="n">
        <f aca="false">(BB14*$AW$9)+(BH14*$AW$8)+(BN14*$AW$7)</f>
        <v>210500</v>
      </c>
      <c r="BB14" s="73" t="n">
        <f aca="false">RANK(BC14,BC14:BC17,1)</f>
        <v>1</v>
      </c>
      <c r="BC14" s="73" t="n">
        <f aca="false">SUM(IF(AND(AJ14=AJ15,AQ14=AQ15,AO14=AO15),BE14,0),IF(AND(AJ14=AJ16,AQ14=AQ16,AO14=AO16),BF14,0),IF(AND(AJ14=AJ17,AQ14=AQ17,AO14=AO17),BG14,0))</f>
        <v>0</v>
      </c>
      <c r="BD14" s="73" t="n">
        <v>0</v>
      </c>
      <c r="BE14" s="73" t="n">
        <f aca="false" t="array" ref="BE14:BE14">SUMIFS($K$12:$K$17,$I$12:$I$17,$AY14,$K$12:$K$17,"&lt;&gt;",$L$12:$L$17,"&lt;&gt;",$N$12:$N$17,BE13)+SUMIFS($L$12:$L$17,$I$12:$I$17,BE13,$K$12:$K$17,"&lt;&gt;",$L$12:$L$17,"&lt;&gt;",$N$12:$N$17,$AY14)</f>
        <v>6</v>
      </c>
      <c r="BF14" s="73" t="n">
        <f aca="false" t="array" ref="BF14:BF14">SUMIFS($K$12:$K$17,$I$12:$I$17,$AY14,$K$12:$K$17,"&lt;&gt;",$L$12:$L$17,"&lt;&gt;",$N$12:$N$17,BF13)+SUMIFS($L$12:$L$17,$I$12:$I$17,BF13,$K$12:$K$17,"&lt;&gt;",$L$12:$L$17,"&lt;&gt;",$N$12:$N$17,$AY14)</f>
        <v>0</v>
      </c>
      <c r="BG14" s="73" t="n">
        <f aca="false" t="array" ref="BG14:BG14">SUMIFS($K$12:$K$17,$I$12:$I$17,$AY14,$K$12:$K$17,"&lt;&gt;",$L$12:$L$17,"&lt;&gt;",$N$12:$N$17,BG13)+SUMIFS($L$12:$L$17,$I$12:$I$17,BG13,$K$12:$K$17,"&lt;&gt;",$L$12:$L$17,"&lt;&gt;",$N$12:$N$17,$AY14)</f>
        <v>3</v>
      </c>
      <c r="BH14" s="73" t="n">
        <f aca="false">RANK(BI14,BI14:BI17,1)</f>
        <v>1</v>
      </c>
      <c r="BI14" s="73" t="n">
        <f aca="false">SUM(IF(AND(AJ14=AJ15,AQ14=AQ15,AO14=AO15),BK14,0),IF(AND(AJ14=AJ16,AQ14=AQ16,AO14=AO16),BL14,0),IF(AND(AJ14=AJ17,AQ14=AQ17,AO14=AO17),BM14,0))</f>
        <v>0</v>
      </c>
      <c r="BJ14" s="73" t="n">
        <v>0</v>
      </c>
      <c r="BK14" s="73" t="n">
        <f aca="false">BE14-BD15</f>
        <v>4</v>
      </c>
      <c r="BL14" s="73" t="n">
        <f aca="false">BF14-BD16</f>
        <v>0</v>
      </c>
      <c r="BM14" s="73" t="n">
        <f aca="false">BG14-BD17</f>
        <v>3</v>
      </c>
      <c r="BN14" s="73" t="n">
        <f aca="false">RANK(BO14,BO14:BO17,1)</f>
        <v>1</v>
      </c>
      <c r="BO14" s="73" t="n">
        <f aca="false">SUM(IF(AND(AJ14=AJ15,AQ14=AQ15,AO14=AO15),BQ14,0),IF(AND(AJ14=AJ16,AQ14=AQ16,AO14=AO16),BR14,0),IF(AND(AJ14=AJ17,AQ14=AQ17,AO14=AO17),BS14,0))</f>
        <v>0</v>
      </c>
      <c r="BP14" s="73" t="n">
        <v>0</v>
      </c>
      <c r="BQ14" s="73" t="n">
        <f aca="false" t="array" ref="BQ14:BQ14">SUM((I$4:I$49=AY14)*(N$4:N$49=BQ13)*(K$4:K$49&lt;&gt;"")*(L$4:L$49&lt;&gt;"")*(K$4:K$49&gt;L$4:L$49)*3,(N$4:N$49=AY14)*(I$4:I$49=BQ13)*(K$4:K$49&lt;&gt;"")*(L$4:L$49&lt;&gt;"")*(K$4:K$49=L$4:L$49)*1,(N$4:N$49=AY14)*(I$4:I$49=BQ13)*(K$4:K$49&lt;&gt;"")*(L$4:L$49&lt;&gt;"")*(K$4:K$49&lt;L$4:L$49)*3,(I$4:I$49=AY14)*(N$4:N$49=BQ13)*(K$4:K$49&lt;&gt;"")*(L$4:L$49&lt;&gt;"")*(K$4:K$49=L$4:L$49)*1)</f>
        <v>3</v>
      </c>
      <c r="BR14" s="73" t="n">
        <f aca="false" t="array" ref="BR14:BR14">SUM((I$4:I$49=AY14)*(N$4:N$49=BR13)*(K$4:K$49&lt;&gt;"")*(L$4:L$49&lt;&gt;"")*(K$4:K$49&gt;L$4:L$49)*3,(N$4:N$49=AY14)*(I$4:I$49=BR13)*(K$4:K$49&lt;&gt;"")*(L$4:L$49&lt;&gt;"")*(K$4:K$49=L$4:L$49)*1,(N$4:N$49=AY14)*(I$4:I$49=BR13)*(K$4:K$49&lt;&gt;"")*(L$4:L$49&lt;&gt;"")*(K$4:K$49&lt;L$4:L$49)*3,(I$4:I$49=AY14)*(N$4:N$49=BR13)*(K$4:K$49&lt;&gt;"")*(L$4:L$49&lt;&gt;"")*(K$4:K$49=L$4:L$49)*1)</f>
        <v>1</v>
      </c>
      <c r="BS14" s="73" t="n">
        <f aca="false" t="array" ref="BS14:BS14">SUM((I$4:I$49=AY14)*(N$4:N$49=BS13)*(K$4:K$49&lt;&gt;"")*(L$4:L$49&lt;&gt;"")*(K$4:K$49&gt;L$4:L$49)*3,(N$4:N$49=AY14)*(I$4:I$49=BS13)*(K$4:K$49&lt;&gt;"")*(L$4:L$49&lt;&gt;"")*(K$4:K$49=L$4:L$49)*1,(N$4:N$49=AY14)*(I$4:I$49=BS13)*(K$4:K$49&lt;&gt;"")*(L$4:L$49&lt;&gt;"")*(K$4:K$49&lt;L$4:L$49)*3,(I$4:I$49=AY14)*(N$4:N$49=BS13)*(K$4:K$49&lt;&gt;"")*(L$4:L$49&lt;&gt;"")*(K$4:K$49=L$4:L$49)*1)</f>
        <v>3</v>
      </c>
      <c r="BT14" s="10" t="n">
        <v>1</v>
      </c>
      <c r="BU14" s="10" t="n">
        <f aca="false">RANK(BW14,$BW$14:$BW$17)</f>
        <v>1</v>
      </c>
      <c r="BV14" s="10" t="str">
        <f aca="false">A13</f>
        <v>Inglaterra</v>
      </c>
      <c r="BW14" s="10" t="n">
        <f aca="false">IF(AK14=0,-($AW$11*VLOOKUP(AI14,Tabla3[[NombreEquipo]:[Rank]],3,0)),AJ14*$AW$4+BA14+AQ14*$AW$8+AO14*$AW$9+AL14*$AW$10-($AW$11*VLOOKUP(AI14,Tabla3[[NombreEquipo]:[Rank]],3,0)/100))</f>
        <v>7777285199.95</v>
      </c>
      <c r="BX14" s="10" t="str">
        <f aca="false">VLOOKUP(Q14,$AH$14:$AI$17,2,0)</f>
        <v>Inglaterra</v>
      </c>
      <c r="BY14" s="10" t="n">
        <f aca="false">VLOOKUP($BX14,$AI$14:$AR$17,10,0)</f>
        <v>7821210499.95</v>
      </c>
      <c r="BZ14" s="10"/>
      <c r="CA14" s="10" t="n">
        <v>1</v>
      </c>
      <c r="CB14" s="10" t="str">
        <f aca="false">VLOOKUP(CA14,$AH$14:$AI$17,2,0)</f>
        <v>Inglaterra</v>
      </c>
      <c r="CC14" s="10" t="n">
        <f aca="false">VLOOKUP(CB14,$AI$14:$AR$17,2,0)</f>
        <v>7</v>
      </c>
      <c r="CD14" s="74" t="n">
        <f aca="false">IF(SUM($AK$14:$AK$17)=12,MIN(ABS(BY13-BY14),ABS(BY14-BY15)),100)</f>
        <v>2259000000.02</v>
      </c>
      <c r="CE14" s="10" t="n">
        <f aca="false">VLOOKUP($CB14,$AI$14:$AR$17,9,0)</f>
        <v>7</v>
      </c>
      <c r="CF14" s="10" t="n">
        <f aca="false">VLOOKUP($CB14,$AI$14:$AR$17,7,0)</f>
        <v>9</v>
      </c>
      <c r="CG14" s="10"/>
      <c r="CH14" s="10" t="n">
        <f aca="false" t="array" ref="CH14:CH14">IF($CI$14=$CL$13,$EC$13:$EC$16,IF($CI$14=$CM$13,$ED$13:$ED$15,IF(OR($CI$14=$CN$13,$CI$14=$CO$13),$EE$13:$EE$14,$EI$13)))</f>
        <v>1</v>
      </c>
      <c r="CI14" s="11" t="str">
        <f aca="false">IFERROR(HLOOKUP(4,CL12:DI13,2,0),CS13)</f>
        <v>COM_8</v>
      </c>
      <c r="CK14" s="11" t="n">
        <v>1</v>
      </c>
      <c r="CL14" s="11" t="n">
        <f aca="false" t="array" ref="CL14:CL14">IF(AND($CC$14:$CC$17=$CC$14,$CD$14:$CD$17&lt;90,$AQ$14:$AQ$17=$AQ$14,$CF$14:$CF$17=$CF$14),1,0)</f>
        <v>0</v>
      </c>
      <c r="CM14" s="11" t="n">
        <f aca="false" t="array" ref="CM14:CM14">IF(AND($CC$14:$CC$16=$CC$14,$CD$14:$CD$16&lt;90,$CC$14&lt;&gt;$CC$17),1,0)</f>
        <v>0</v>
      </c>
      <c r="CN14" s="11" t="n">
        <f aca="false" t="array" ref="CN14:CN14">IF(AND($CC$14:$CC$15=$CC$14,$CD$14:$CD$15&lt;90,$CC$14&lt;&gt;$CC$16),1,0)</f>
        <v>0</v>
      </c>
      <c r="CO14" s="11" t="n">
        <f aca="false" t="array" ref="CO14:CO14">IF(AND($CC$14:$CC$15=$CC$14,$CD$14:$CD$15&lt;90,$CC$14&lt;&gt;$CC$16),1,0)</f>
        <v>0</v>
      </c>
      <c r="CP14" s="11" t="n">
        <f aca="false" t="array" ref="CP14:CP14">IF(AND($CC$15:$CC$17=$CC$15,$CD$15:$CD$17&lt;90,$CC$14&lt;&gt;$CC$15),1,0)</f>
        <v>0</v>
      </c>
      <c r="CQ14" s="11" t="n">
        <f aca="false" t="array" ref="CQ14:CQ14">IF(AND($CC$14&lt;&gt;$CC$15,$CC$14&lt;&gt;$CC$17),1,0)</f>
        <v>1</v>
      </c>
      <c r="CR14" s="11" t="n">
        <f aca="false" t="array" ref="CR14:CR14">IF(AND($CC$14&lt;&gt;$CC$15,$CC$14&lt;&gt;$CC$17),1,0)</f>
        <v>1</v>
      </c>
      <c r="CS14" s="11" t="n">
        <f aca="false" t="array" ref="CS14:CS14">IF(AND($CC$14&lt;&gt;$CC$15,$CC$14&lt;&gt;$CC$17),1,0)</f>
        <v>1</v>
      </c>
      <c r="CT14" s="11" t="n">
        <f aca="false" t="array" ref="CT14:CT14">IF(AND($CC$14:$CC$17=$CC$14,$CD$14:$CD$17&lt;90,$CE$14:$CE$15=$CE$14,$CE$14&lt;&gt;$CE$16),1,0)</f>
        <v>0</v>
      </c>
      <c r="CU14" s="11" t="n">
        <f aca="false" t="array" ref="CU14:CU14">IF(AND($CC$14:$CC$17=$CC$14,$CD$14:$CD$17&lt;90,$CE$14:$CE$17=$CE$14,$CF$14=$CF$15,$CF$14&lt;&gt;$CF$16),1,0)</f>
        <v>0</v>
      </c>
      <c r="CV14" s="11" t="n">
        <f aca="false" t="array" ref="CV14:CV14">IF(AND($CC$14:$CC$16=$CC$14,$CD$14:$CD$15&lt;90,$CD$16&gt;90),1,0)</f>
        <v>0</v>
      </c>
      <c r="CW14" s="11" t="n">
        <f aca="false" t="array" ref="CW14:CW14">IF(AND($CC$14&lt;&gt;$CC$15,$CC$14&lt;&gt;$CC$16),1,0)</f>
        <v>1</v>
      </c>
      <c r="CX14" s="11" t="n">
        <f aca="false" t="array" ref="CX14:CX14">IF(AND($CC$14&lt;&gt;$CC$15,$CC$14&lt;&gt;$CC$16),1,0)</f>
        <v>1</v>
      </c>
      <c r="CY14" s="11" t="n">
        <f aca="false" t="array" ref="CY14:CY14">IF(AND($CC$14&lt;&gt;$CC$17,$CC$14:$CC$16=$CC$14,$CD$14&gt;90,$CD$15:$CD$16&lt;90),1,0)</f>
        <v>0</v>
      </c>
      <c r="CZ14" s="11" t="n">
        <f aca="false" t="array" ref="CZ14:CZ14">IF(AND($CC$14:$CC$17=$CC$14,$CD$15:$CD$17&lt;90,$CD$14&lt;&gt;$CD$15),1,0)</f>
        <v>0</v>
      </c>
      <c r="DA14" s="11" t="n">
        <f aca="false" t="array" ref="DA14:DA14">IF(AND($CC$14:$CC$17=$CC$14,$CD$14:$CD$16&lt;90,$CD$14&lt;&gt;$CD$17),1,0)</f>
        <v>0</v>
      </c>
      <c r="DB14" s="11" t="n">
        <f aca="false" t="array" ref="DB14:DB14">IF(AND($CC$14:$CC$17=$CC$14,$CD$14:$CD$15&gt;90,$CD$16:$CD$17&lt;90,$CE$14:$CE$17=$CE$14,$CF$14&gt;$CF$15,$CF$14&gt;$CF$16,$CF$14&gt;$CF$17),1,0)</f>
        <v>0</v>
      </c>
      <c r="DC14" s="11" t="n">
        <f aca="false" t="array" ref="DC14:DC14">IF(AND($CC$14:$CC$17=$CC$14,$CD$14&gt;90,$CD$15:$CD$16&lt;90,$CD$17&gt;90,$CE$14:$CE$17=$CE$14,$CF$14&gt;$CF$15,$CF$14&gt;$CF$16,$CF$14&gt;$CF$17),1,0)</f>
        <v>0</v>
      </c>
      <c r="DD14" s="11" t="n">
        <f aca="false" t="array" ref="DD14:DD14">IF(AND($CC$14:$CC$17=$CC$14,$CD$14:$CD$15&lt;90,$CD$16:$CD$17&gt;90,$CE$14:$CE$17=$CE$14,$CF$14=$CF$15,$CF$14&gt;$CF$16,$CF$14&gt;$CF$17),1,0)</f>
        <v>0</v>
      </c>
      <c r="DE14" s="11" t="n">
        <f aca="false" t="array" ref="DE14:DE14">IF(AND($CC$14:$CC$17=$CC$14,$CD$14:$CD$15&gt;90,$CD$16:$CD$17&lt;90,$CE$14:$CE$17=$CE$14,$CF$14&gt;$CF$15,$CF$15:$CF$17=$CF$15),1,0)</f>
        <v>0</v>
      </c>
      <c r="DF14" s="11" t="n">
        <f aca="false" t="array" ref="DF14:DF14">IF(AND($CC$14:$CC$17=$CC$14,$CD$14:$CD$15&lt;90,$CD$16:$CD$17&gt;90,$CE$14:$CE$17=$CE$14,$CF$14:$CF$16=$CF$14,$CF$14&gt;$CF$17),1,0)</f>
        <v>0</v>
      </c>
      <c r="DG14" s="11" t="n">
        <f aca="false" t="array" ref="DG14:DG14">IF(AND($CC$14:$CC$17=$CC$14,$CD$14&gt;90,$CD$17&gt;90,$CD$15:$CD$16&lt;90,$CE$14:$CE$17=$CE$14,$CF$14&gt;$CF$15:$CF$17),1,0)</f>
        <v>0</v>
      </c>
      <c r="EC14" s="10" t="n">
        <v>2</v>
      </c>
      <c r="ED14" s="10" t="n">
        <v>2</v>
      </c>
      <c r="EE14" s="10" t="n">
        <v>2</v>
      </c>
      <c r="EF14" s="10" t="n">
        <v>3</v>
      </c>
      <c r="EG14" s="10" t="n">
        <v>4</v>
      </c>
      <c r="EH14" s="10" t="n">
        <v>3</v>
      </c>
      <c r="EI14" s="10"/>
      <c r="EJ14" s="10"/>
      <c r="EK14" s="10"/>
      <c r="EL14" s="10"/>
      <c r="FI14" s="73"/>
      <c r="FK14" s="73"/>
      <c r="FM14" s="73"/>
    </row>
    <row r="15" s="11" customFormat="true" ht="15" hidden="false" customHeight="false" outlineLevel="0" collapsed="false">
      <c r="A15" s="32" t="str">
        <f aca="true" t="array" ref="A15:A15">IF(ROWS(A$13:A15)&lt;=$C$12,INDEX(INDIRECT(A$12),SMALL(IF(Nivell=$B$12,ROW(Nivell)-ROW(Equipos!$C$2)+1),ROWS(B$12:B14))),"")</f>
        <v>Estados unidos</v>
      </c>
      <c r="B15" s="33"/>
      <c r="C15" s="75"/>
      <c r="D15" s="35"/>
      <c r="E15" s="102"/>
      <c r="F15" s="112" t="n">
        <f aca="false">Horarios!C15</f>
        <v>44890.9166666667</v>
      </c>
      <c r="G15" s="113" t="n">
        <f aca="false">Horarios!C15</f>
        <v>44890.9166666667</v>
      </c>
      <c r="H15" s="112" t="s">
        <v>74</v>
      </c>
      <c r="I15" s="114" t="str">
        <f aca="false">A13</f>
        <v>Inglaterra</v>
      </c>
      <c r="J15" s="115" t="str">
        <f aca="false">VLOOKUP(I15,Equipos!$H$2:$I$33,2,0)</f>
        <v>🏴󠁧󠁢󠁥󠁮󠁧󠁿</v>
      </c>
      <c r="K15" s="116" t="n">
        <v>0</v>
      </c>
      <c r="L15" s="116" t="n">
        <v>0</v>
      </c>
      <c r="M15" s="117" t="str">
        <f aca="false">VLOOKUP(N15,Equipos!$H$2:$I$33,2,0)</f>
        <v>🇺🇸</v>
      </c>
      <c r="N15" s="118" t="str">
        <f aca="false">A15</f>
        <v>Estados unidos</v>
      </c>
      <c r="O15" s="44" t="n">
        <f aca="false">IF(NOT(OR(ISBLANK(K15),ISBLANK(L15))),1,0)</f>
        <v>1</v>
      </c>
      <c r="P15" s="45"/>
      <c r="Q15" s="127" t="n">
        <v>2</v>
      </c>
      <c r="R15" s="77" t="str">
        <f aca="false">VLOOKUP(Q15,$AG$14:$AI$17,3,0)</f>
        <v>Estados unidos</v>
      </c>
      <c r="S15" s="78" t="n">
        <f aca="false">VLOOKUP(R15,$AI$14:$AR$17,2,0)</f>
        <v>5</v>
      </c>
      <c r="T15" s="78" t="n">
        <f aca="false">VLOOKUP($R15,$AI$14:$AR$17,3,0)</f>
        <v>3</v>
      </c>
      <c r="U15" s="78" t="n">
        <f aca="false">VLOOKUP($R15,$AI$14:$AR$17,4,0)</f>
        <v>1</v>
      </c>
      <c r="V15" s="78" t="n">
        <f aca="false">VLOOKUP($R15,$AI$14:$AR$17,5,0)</f>
        <v>2</v>
      </c>
      <c r="W15" s="78" t="n">
        <f aca="false">VLOOKUP($R15,$AI$14:$AR$17,6,0)</f>
        <v>0</v>
      </c>
      <c r="X15" s="78" t="n">
        <f aca="false">VLOOKUP($R15,$AI$14:$AR$17,7,0)</f>
        <v>2</v>
      </c>
      <c r="Y15" s="78" t="n">
        <f aca="false">VLOOKUP($R15,$AI$14:$AR$17,8,0)</f>
        <v>1</v>
      </c>
      <c r="Z15" s="128" t="n">
        <f aca="false">VLOOKUP($R15,$AI$14:$AR$17,9,0)</f>
        <v>1</v>
      </c>
      <c r="AA15" s="67" t="n">
        <f aca="false">IF(SUM($AK$14:$AK$17)=12,MIN(ABS(BY14-BY15),ABS(BY15-BY16)),100)</f>
        <v>2239999999.99</v>
      </c>
      <c r="AB15" s="68" t="str">
        <f aca="false">IF(AND(AA15&gt;=0,AA15&lt;90),VLOOKUP(Q15,$BU$14:$BV$17,2,0),"")</f>
        <v/>
      </c>
      <c r="AC15" s="69"/>
      <c r="AD15" s="70"/>
      <c r="AE15" s="71"/>
      <c r="AF15" s="24" t="n">
        <f aca="false">VLOOKUP($R15,$AI$14:$AR$17,10,0)</f>
        <v>5562210499.93</v>
      </c>
      <c r="AG15" s="11" t="n">
        <f aca="false">RANK(AU15,$AU$14:$AU$17)</f>
        <v>3</v>
      </c>
      <c r="AH15" s="11" t="n">
        <f aca="false">RANK(AR15,$AR$14:$AR$17)</f>
        <v>3</v>
      </c>
      <c r="AI15" s="10" t="str">
        <f aca="false">A14</f>
        <v>Irán</v>
      </c>
      <c r="AJ15" s="11" t="n">
        <f aca="false">AL15*3+AM15*1+AN15*0</f>
        <v>3</v>
      </c>
      <c r="AK15" s="11" t="n">
        <f aca="false">COUNTIFS($I$4:$I$65,AI15,$K$4:$K$65,"&lt;&gt;",$L$4:$L$65,"&lt;&gt;")+COUNTIFS($N$4:$N$65,AI15,$L$4:$L$65,"&lt;&gt;",$K$4:$K$65,"&lt;&gt;")</f>
        <v>3</v>
      </c>
      <c r="AL15" s="11" t="n">
        <f aca="false" t="array" ref="AL15:AL15">SUM(($I$4:$I$65=AI15)*($K$4:$K$65&lt;&gt;"")*($L$4:$L$65&lt;&gt;"")*($K$4:$K$65&gt;$L$4:$L$65),($N$4:$N$65=AI15)*($K$4:$K$65&lt;&gt;"")*($L$4:$L$65&lt;&gt;"")*($K$4:$K$65&lt;$L$4:$L$65))</f>
        <v>1</v>
      </c>
      <c r="AM15" s="11" t="n">
        <f aca="false" t="array" ref="AM15:AM15">SUM(($I$4:$I$65=AI15)*($K$4:$K$65&lt;&gt;"")*($L$4:$L$65&lt;&gt;"")*($K$4:$K$65=$L$4:$L$65),($N$4:$N$65=AI15)*($K$4:$K$65&lt;&gt;"")*($L$4:$L$65&lt;&gt;"")*($K$4:$K$65=$L$4:$L$65))</f>
        <v>0</v>
      </c>
      <c r="AN15" s="11" t="n">
        <f aca="false" t="array" ref="AN15:AN15">SUM(($I$4:$I$65=AI15)*($L$4:$L$65&lt;&gt;"")*($K$4:$K$65&lt;&gt;"")*($K$4:$K$65&lt;$L$4:$L$65),($K$4:$K$65&lt;&gt;"")*($N$4:$N$65=AI15)*($L$4:$L$65&lt;&gt;"")*($K$4:$K$65&gt;$L$4:$L$65))</f>
        <v>2</v>
      </c>
      <c r="AO15" s="11" t="n">
        <f aca="false" t="array" ref="AO15:AO15">SUMIFS($K$4:$K$65,$I$4:$I$65,AI15,$K$4:$K$65,"&lt;&gt;",$L$4:$L$65,"&lt;&gt;")+SUMIFS($L$4:$L$65,$N$4:$N$65,AI15,$K$4:$K$65,"&lt;&gt;",$L$4:$L$65,"&lt;&gt;")</f>
        <v>4</v>
      </c>
      <c r="AP15" s="11" t="n">
        <f aca="false" t="array" ref="AP15:AP15">SUMIFS($K$4:$K$65,$N$4:$N$65,AI15,$K$4:$K$65,"&lt;&gt;",$L$4:$L$65,"&lt;&gt;")+SUMIFS($L$4:$L$65,$I$4:$I$65,AI15,$K$4:$K$65,"&lt;&gt;",$L$4:$L$65,"&lt;&gt;")</f>
        <v>7</v>
      </c>
      <c r="AQ15" s="11" t="n">
        <f aca="false">AO15-AP15</f>
        <v>-3</v>
      </c>
      <c r="AR15" s="11" t="n">
        <f aca="false">IF(AK15=0,-($AW$11*VLOOKUP(AI15,Tabla3[[NombreEquipo]:[Rank]],3,0)),AJ15*$AW$4+AQ15*$AW$5+AO15*$AW$6+BA15-($AW$11*VLOOKUP(AI15,Tabla3[[NombreEquipo]:[Rank]],3,0)/100))</f>
        <v>3322210499.94</v>
      </c>
      <c r="AS15" s="11" t="n">
        <f aca="false">AH15</f>
        <v>3</v>
      </c>
      <c r="AU15" s="11" t="n">
        <f aca="false">IFERROR(AR15-VLOOKUP(AI15,$AB$14:$AC$17,2,0),AR15)</f>
        <v>3322210499.94</v>
      </c>
      <c r="AW15" s="31"/>
      <c r="AY15" s="72" t="str">
        <f aca="false">AI15</f>
        <v>Irán</v>
      </c>
      <c r="AZ15" s="11" t="n">
        <f aca="false">COUNTIF(AJ14:AJ17,AJ15)</f>
        <v>1</v>
      </c>
      <c r="BA15" s="11" t="n">
        <f aca="false">(BB15*$AW$9)+(BH15*$AW$8)+(BN15*$AW$7)</f>
        <v>210500</v>
      </c>
      <c r="BB15" s="73" t="n">
        <f aca="false">RANK(BC15,BC14:BC17,1)</f>
        <v>1</v>
      </c>
      <c r="BC15" s="73" t="n">
        <f aca="false">SUM(IF(AND(AJ15=AJ16,AQ15=AQ16,AO15=AO16),BF15,0),IF(AND(AJ15=AJ17,AQ15=AQ17,AO15=AO17),BG15,0),IF(AND(AJ15=AJ14,AQ15=AQ14,AO15=AO14),BD15,0))</f>
        <v>0</v>
      </c>
      <c r="BD15" s="73" t="n">
        <f aca="false" t="array" ref="BD15:BD15">SUMIFS($K$12:$K$17,$I$12:$I$17,$AY15,$K$12:$K$17,"&lt;&gt;",$L$12:$L$17,"&lt;&gt;",$N$12:$N$17,BD13)+SUMIFS($L$12:$L$17,$I$12:$I$17,BD13,$K$12:$K$17,"&lt;&gt;",$L$12:$L$17,"&lt;&gt;",$N$12:$N$17,$AY15)</f>
        <v>2</v>
      </c>
      <c r="BE15" s="73" t="n">
        <v>0</v>
      </c>
      <c r="BF15" s="73" t="n">
        <f aca="false" t="array" ref="BF15:BF15">SUMIFS($K$12:$K$17,$I$12:$I$17,$AY15,$K$12:$K$17,"&lt;&gt;",$L$12:$L$17,"&lt;&gt;",$N$12:$N$17,BF13)+SUMIFS($L$12:$L$17,$I$12:$I$17,BF13,$K$12:$K$17,"&lt;&gt;",$L$12:$L$17,"&lt;&gt;",$N$12:$N$17,$AY15)</f>
        <v>0</v>
      </c>
      <c r="BG15" s="73" t="n">
        <f aca="false" t="array" ref="BG15:BG15">SUMIFS($K$12:$K$17,$I$12:$I$17,$AY15,$K$12:$K$17,"&lt;&gt;",$L$12:$L$17,"&lt;&gt;",$N$12:$N$17,BG13)+SUMIFS($L$12:$L$17,$I$12:$I$17,BG13,$K$12:$K$17,"&lt;&gt;",$L$12:$L$17,"&lt;&gt;",$N$12:$N$17,$AY15)</f>
        <v>2</v>
      </c>
      <c r="BH15" s="73" t="n">
        <f aca="false">RANK(BI15,BI14:BI17,1)</f>
        <v>1</v>
      </c>
      <c r="BI15" s="73" t="n">
        <f aca="false">SUM(IF(AND(AJ15=AJ16,AQ15=AQ16,AO15=AO16),BL15,0),IF(AND(AJ15=AJ17,AQ15=AQ17,AO15=AO17),BM15,0),IF(AND(AJ15=AJ14,AQ15=AQ14,AO15=AO14),BJ15,0))</f>
        <v>0</v>
      </c>
      <c r="BJ15" s="73" t="n">
        <f aca="false">BD15-BE14</f>
        <v>-4</v>
      </c>
      <c r="BK15" s="73" t="n">
        <v>0</v>
      </c>
      <c r="BL15" s="73" t="n">
        <f aca="false">BF15-BE16</f>
        <v>-1</v>
      </c>
      <c r="BM15" s="73" t="n">
        <f aca="false">BG15-BE17</f>
        <v>2</v>
      </c>
      <c r="BN15" s="73" t="n">
        <f aca="false">RANK(BO15,BO14:BO17,1)</f>
        <v>1</v>
      </c>
      <c r="BO15" s="73" t="n">
        <f aca="false">SUM(IF(AND(AJ15=AJ16,AQ15=AQ16,AO15=AO16),BR15,0),IF(AND(AJ15=AJ17,AQ15=AQ17,AO15=AO17),BS15,0),IF(AND(AJ15=AJ14,AQ15=AQ14,AO15=AO14),BP15,0))</f>
        <v>0</v>
      </c>
      <c r="BP15" s="73" t="n">
        <f aca="false" t="array" ref="BP15:BP15">SUM((I$4:I$49=AY15)*(N$4:N$49=BP13)*(K$4:K$49&lt;&gt;"")*(L$4:L$49&lt;&gt;"")*(K$4:K$49&gt;L$4:L$49)*3,(N$4:N$49=AY15)*(I$4:I$49=BP13)*(K$4:K$49&lt;&gt;"")*(L$4:L$49&lt;&gt;"")*(K$4:K$49=L$4:L$49)*1,(N$4:N$49=AY15)*(I$4:I$49=BP13)*(K$4:K$49&lt;&gt;"")*(L$4:L$49&lt;&gt;"")*(K$4:K$49&lt;L$4:L$49)*3,(I$4:I$49=AY15)*(N$4:N$49=BP13)*(K$4:K$49&lt;&gt;"")*(L$4:L$49&lt;&gt;"")*(K$4:K$49=L$4:L$49)*1)</f>
        <v>0</v>
      </c>
      <c r="BQ15" s="73" t="n">
        <v>0</v>
      </c>
      <c r="BR15" s="73" t="n">
        <f aca="false" t="array" ref="BR15:BR15">SUM((I$4:I$49=AY15)*(N$4:N$49=BR13)*(K$4:K$49&lt;&gt;"")*(L$4:L$49&lt;&gt;"")*(K$4:K$49&gt;L$4:L$49)*3,(N$4:N$49=AY15)*(I$4:I$49=BR13)*(K$4:K$49&lt;&gt;"")*(L$4:L$49&lt;&gt;"")*(K$4:K$49=L$4:L$49)*1,(N$4:N$49=AY15)*(I$4:I$49=BR13)*(K$4:K$49&lt;&gt;"")*(L$4:L$49&lt;&gt;"")*(K$4:K$49&lt;L$4:L$49)*3,(I$4:I$49=AY15)*(N$4:N$49=BR13)*(K$4:K$49&lt;&gt;"")*(L$4:L$49&lt;&gt;"")*(K$4:K$49=L$4:L$49)*1)</f>
        <v>0</v>
      </c>
      <c r="BS15" s="73" t="n">
        <f aca="false" t="array" ref="BS15:BS15">SUM((I$4:I$49=AY15)*(N$4:N$49=BS13)*(K$4:K$49&lt;&gt;"")*(L$4:L$49&lt;&gt;"")*(K$4:K$49&gt;L$4:L$49)*3,(N$4:N$49=AY15)*(I$4:I$49=BS13)*(K$4:K$49&lt;&gt;"")*(L$4:L$49&lt;&gt;"")*(K$4:K$49=L$4:L$49)*1,(N$4:N$49=AY15)*(I$4:I$49=BS13)*(K$4:K$49&lt;&gt;"")*(L$4:L$49&lt;&gt;"")*(K$4:K$49&lt;L$4:L$49)*3,(I$4:I$49=AY15)*(N$4:N$49=BS13)*(K$4:K$49&lt;&gt;"")*(L$4:L$49&lt;&gt;"")*(K$4:K$49=L$4:L$49)*1)</f>
        <v>3</v>
      </c>
      <c r="BT15" s="10" t="n">
        <v>2</v>
      </c>
      <c r="BU15" s="10" t="n">
        <f aca="false">RANK(BW15,$BW$14:$BW$17)</f>
        <v>3</v>
      </c>
      <c r="BV15" s="10" t="str">
        <f aca="false">A14</f>
        <v>Irán</v>
      </c>
      <c r="BW15" s="10" t="n">
        <f aca="false">IF(AK15=0,-($AW$11*VLOOKUP(AI15,Tabla3[[NombreEquipo]:[Rank]],3,0)),AJ15*$AW$4+BA15+AQ15*$AW$8+AO15*$AW$9+AL15*$AW$10-($AW$11*VLOOKUP(AI15,Tabla3[[NombreEquipo]:[Rank]],3,0)/100))</f>
        <v>3333182599.94</v>
      </c>
      <c r="BX15" s="10" t="str">
        <f aca="false">VLOOKUP(Q15,$AH$14:$AI$17,2,0)</f>
        <v>Estados unidos</v>
      </c>
      <c r="BY15" s="10" t="n">
        <f aca="false">VLOOKUP($BX15,$AI$14:$AR$17,10,0)</f>
        <v>5562210499.93</v>
      </c>
      <c r="BZ15" s="10"/>
      <c r="CA15" s="10" t="n">
        <v>2</v>
      </c>
      <c r="CB15" s="10" t="str">
        <f aca="false">VLOOKUP(CA15,$AH$14:$AI$17,2,0)</f>
        <v>Estados unidos</v>
      </c>
      <c r="CC15" s="10" t="n">
        <f aca="false">VLOOKUP(CB15,$AI$14:$AR$17,2,0)</f>
        <v>5</v>
      </c>
      <c r="CD15" s="74" t="n">
        <f aca="false">IF(SUM($AK$14:$AK$17)=12,MIN(ABS(BY14-BY15),ABS(BY15-BY16)),100)</f>
        <v>2239999999.99</v>
      </c>
      <c r="CE15" s="10" t="n">
        <f aca="false">VLOOKUP($CB15,$AI$14:$AR$17,9,0)</f>
        <v>1</v>
      </c>
      <c r="CF15" s="10" t="n">
        <f aca="false">VLOOKUP($CB15,$AI$14:$AR$17,7,0)</f>
        <v>2</v>
      </c>
      <c r="CG15" s="10"/>
      <c r="CH15" s="10" t="n">
        <f aca="false" t="array" ref="CH15:CH15">IF($CI$14=$CL$13,$EC$13:$EC$16,IF($CI$14=$CM$13,$ED$13:$ED$15,IF(OR($CI$14=$CN$13,$CI$14=$CO$13),$EE$13:$EE$14,IF($CI$14=$CP$13,$EF$13:$EF$15,(IF($CI$14=$CQ$13,$EH$13:$EH$14,$EJ$13))))))</f>
        <v>2</v>
      </c>
      <c r="CK15" s="11" t="n">
        <v>2</v>
      </c>
      <c r="CL15" s="11" t="n">
        <f aca="false" t="array" ref="CL15:CL15">IF(AND($CC$14:$CC$17=$CC$15,$CD$14:$CD$17&lt;90,$AQ$14:$AQ$17=$AQ$15,$CF$14:$CF$17=$CF$15),1,0)</f>
        <v>0</v>
      </c>
      <c r="CM15" s="11" t="n">
        <f aca="false" t="array" ref="CM15:CM15">IF(AND($CC$14:$CC$16=$CC$15,$CD$14:$CD$16&lt;90,$CC$15&lt;&gt;$CC$17),1,0)</f>
        <v>0</v>
      </c>
      <c r="CN15" s="11" t="n">
        <f aca="false" t="array" ref="CN15:CN15">IF(AND($CC$14:$CC$15=$CC$14,$CD$14:$CD$15&lt;90,$CC$14&lt;&gt;$CC$16),1,0)</f>
        <v>0</v>
      </c>
      <c r="CO15" s="11" t="n">
        <f aca="false" t="array" ref="CO15:CO15">IF(AND($CC$14:$CC$15=$CC$14,$CD$14:$CD$15&lt;90,$CC$14&lt;&gt;$CC$16),1,0)</f>
        <v>0</v>
      </c>
      <c r="CP15" s="11" t="n">
        <f aca="false" t="array" ref="CP15:CP15">IF(AND($CC$15:$CC$17=$CC$15,$CD$15:$CD$17&lt;90,$CC$14&lt;&gt;$CC$15),1,0)</f>
        <v>0</v>
      </c>
      <c r="CQ15" s="11" t="n">
        <f aca="false" t="array" ref="CQ15:CQ15">IF(AND($CC$15:$CC$16=$CC$15,$CD$15:$CD$16&lt;90,$CC$15&lt;&gt;$CC$14,$CC$15&lt;&gt;$CC$17),1,0)</f>
        <v>0</v>
      </c>
      <c r="CR15" s="11" t="n">
        <f aca="false" t="array" ref="CR15:CR15">IF(AND($CC$15&lt;&gt;$CC$14,$CC$15&lt;&gt;$CC$16),1,0)</f>
        <v>1</v>
      </c>
      <c r="CS15" s="11" t="n">
        <f aca="false" t="array" ref="CS15:CS15">IF(AND($CC$15&lt;&gt;$CC$14,$CC$15&lt;&gt;$CC$16),1,0)</f>
        <v>1</v>
      </c>
      <c r="CT15" s="11" t="n">
        <f aca="false" t="array" ref="CT15:CT15">IF(AND($CC$14:$CC$17=$CC$14,$CD$14:$CD$17&lt;90,$CE$14:$CE$15=$CE$14,$CE$15&lt;&gt;$CE$16),1,0)</f>
        <v>0</v>
      </c>
      <c r="CU15" s="11" t="n">
        <f aca="false" t="array" ref="CU15:CU15">IF(AND($CC$14:$CC$17=$CC$14,$CD$14:$CD$17&lt;90,$CE$14:$CE$17=$CE$14,$CF$14=$CF$15,$CF$15&lt;&gt;$CF$16),1,0)</f>
        <v>0</v>
      </c>
      <c r="CV15" s="11" t="n">
        <f aca="false" t="array" ref="CV15:CV15">IF(AND($CC$14:$CC$16=$CC$15,$CD$14:$CD$15&lt;90,$CD$16&gt;90),1,0)</f>
        <v>0</v>
      </c>
      <c r="CW15" s="11" t="n">
        <f aca="false" t="array" ref="CW15:CW15">IF(AND($CC$15&lt;&gt;$CC$14,$CC$15:$CC$17=$CC$15,$CD$15&gt;90,$CD$16:$CD$17&lt;90),1,0)</f>
        <v>0</v>
      </c>
      <c r="CX15" s="11" t="n">
        <f aca="false" t="array" ref="CX15:CX15">IF(AND($CC$15&lt;&gt;$CC$14,$CC$15:$CC$17=$CC$15,$CD$17&gt;90,$CD$15:$CD$16&lt;90),1,0)</f>
        <v>0</v>
      </c>
      <c r="CY15" s="11" t="n">
        <f aca="false" t="array" ref="CY15:CY15">IF(AND($CC$15&lt;&gt;$CC$17,$CC$14:$CC$16=$CC$15,$CD$14&gt;90,$CD$15:$CD$16&lt;90),1,0)</f>
        <v>0</v>
      </c>
      <c r="CZ15" s="11" t="n">
        <f aca="false" t="array" ref="CZ15:CZ15">IF(AND($CC$14:$CC$17=$CC$15,$CD$15:$CD$17&lt;90,$CD$14&lt;&gt;$CD$15),1,0)</f>
        <v>0</v>
      </c>
      <c r="DA15" s="11" t="n">
        <f aca="false" t="array" ref="DA15:DA15">IF(AND($CC$14:$CC$17=$CC$15,$CD$14:$CD$16&lt;90,$CD$15&lt;&gt;$CD$17),1,0)</f>
        <v>0</v>
      </c>
      <c r="DB15" s="11" t="n">
        <f aca="false" t="array" ref="DB15:DB15">IF(AND($CC$14:$CC$17=$CC$15,$CD$14:$CD$15&gt;90,$CD$16:$CD$17&lt;90,$CE$14:$CE$17=$CE$15,$CF$14&gt;$CF$15,$CF$15&gt;$CF$16,$CF$15&gt;$CF$17),1,0)</f>
        <v>0</v>
      </c>
      <c r="DC15" s="11" t="n">
        <f aca="false" t="array" ref="DC15:DC15">IF(AND($CC$14:$CC$17=$CC$15,$CD$14&gt;90,$CD$15:$CD$16&lt;90,$CD$17&gt;90,$CE$14:$CE$17=$CE$15,$CF$14&gt;$CF$15,$CF$15=$CF$16,$CF$15&gt;$CF$17),1,0)</f>
        <v>0</v>
      </c>
      <c r="DD15" s="11" t="n">
        <f aca="false" t="array" ref="DD15:DD15">IF(AND($CC$14:$CC$17=$CC$15,$CD$14:$CD$15&lt;90,$CD$16:$CD$17&gt;90,$CE$14:$CE$17=$CE$15,$CF$14=$CF$15,$CF$15&gt;$CF$16,$CF$15&gt;$CF$17),1,0)</f>
        <v>0</v>
      </c>
      <c r="DE15" s="11" t="n">
        <f aca="false" t="array" ref="DE15:DE15">IF(AND($CC$14:$CC$17=$CC$15,$CD$14:$CD$15&gt;90,$CD$16:$CD$17&lt;90,$CE$14:$CE$17=$CE$15,$CF$14&gt;$CF$15,$CF$15:$CF$17=$CF$15),1,0)</f>
        <v>0</v>
      </c>
      <c r="DF15" s="11" t="n">
        <f aca="false" t="array" ref="DF15:DF15">IF(AND($CC$14:$CC$17=$CC$15,$CD$14:$CD$15&lt;90,$CD$16:$CD$17&gt;90,$CE$14:$CE$17=$CE$15,$CF$14:$CF$16=$CF$15,$CF$15&gt;$CF$17),1,0)</f>
        <v>0</v>
      </c>
      <c r="DG15" s="11" t="n">
        <f aca="false" t="array" ref="DG15:DG15">IF(AND($CC$14:$CC$17=$CC$15,$CD$14&gt;90,$CD$17&gt;90,$CD$15:$CD$16&lt;90,$CE$14:$CE$17=$CE$15,$CF$14&gt;$CF$15:$CF$17,$CF$15:$CF$17=$CF$15),1,0)</f>
        <v>0</v>
      </c>
      <c r="EC15" s="10" t="n">
        <v>3</v>
      </c>
      <c r="ED15" s="10" t="n">
        <v>3</v>
      </c>
      <c r="EE15" s="10"/>
      <c r="EF15" s="10" t="n">
        <v>4</v>
      </c>
      <c r="EG15" s="10"/>
      <c r="EH15" s="10"/>
      <c r="EI15" s="10"/>
      <c r="EJ15" s="10"/>
      <c r="EK15" s="10"/>
      <c r="EL15" s="10"/>
      <c r="FI15" s="73"/>
      <c r="FK15" s="73"/>
      <c r="FM15" s="73"/>
    </row>
    <row r="16" s="11" customFormat="true" ht="15" hidden="false" customHeight="false" outlineLevel="0" collapsed="false">
      <c r="A16" s="32" t="str">
        <f aca="true" t="array" ref="A16:A16">IF(ROWS(A$13:A16)&lt;=$C$12,INDEX(INDIRECT(A$12),SMALL(IF(Nivell=$B$12,ROW(Nivell)-ROW(Equipos!$C$2)+1),ROWS(B$12:B15))),"")</f>
        <v>Gales</v>
      </c>
      <c r="B16" s="33"/>
      <c r="C16" s="75"/>
      <c r="D16" s="35"/>
      <c r="E16" s="102"/>
      <c r="F16" s="112" t="n">
        <f aca="false">Horarios!C16</f>
        <v>44894.9166666667</v>
      </c>
      <c r="G16" s="113" t="n">
        <f aca="false">Horarios!C16</f>
        <v>44894.9166666667</v>
      </c>
      <c r="H16" s="112" t="s">
        <v>77</v>
      </c>
      <c r="I16" s="114" t="str">
        <f aca="false">A16</f>
        <v>Gales</v>
      </c>
      <c r="J16" s="115" t="str">
        <f aca="false">VLOOKUP(I16,Equipos!$H$2:$I$33,2,0)</f>
        <v>🏴󠁧󠁢󠁷󠁬󠁳󠁿</v>
      </c>
      <c r="K16" s="116" t="n">
        <v>0</v>
      </c>
      <c r="L16" s="116" t="n">
        <v>3</v>
      </c>
      <c r="M16" s="117" t="str">
        <f aca="false">VLOOKUP(N16,Equipos!$H$2:$I$33,2,0)</f>
        <v>🏴󠁧󠁢󠁥󠁮󠁧󠁿</v>
      </c>
      <c r="N16" s="118" t="str">
        <f aca="false">A13</f>
        <v>Inglaterra</v>
      </c>
      <c r="O16" s="44" t="n">
        <f aca="false">IF(NOT(OR(ISBLANK(K16),ISBLANK(L16))),1,0)</f>
        <v>1</v>
      </c>
      <c r="P16" s="45"/>
      <c r="Q16" s="127" t="n">
        <v>3</v>
      </c>
      <c r="R16" s="77" t="str">
        <f aca="false">VLOOKUP(Q16,$AG$14:$AI$17,3,0)</f>
        <v>Irán</v>
      </c>
      <c r="S16" s="78" t="n">
        <f aca="false">VLOOKUP(R16,$AI$14:$AR$17,2,0)</f>
        <v>3</v>
      </c>
      <c r="T16" s="78" t="n">
        <f aca="false">VLOOKUP($R16,$AI$14:$AR$17,3,0)</f>
        <v>3</v>
      </c>
      <c r="U16" s="78" t="n">
        <f aca="false">VLOOKUP($R16,$AI$14:$AR$17,4,0)</f>
        <v>1</v>
      </c>
      <c r="V16" s="78" t="n">
        <f aca="false">VLOOKUP($R16,$AI$14:$AR$17,5,0)</f>
        <v>0</v>
      </c>
      <c r="W16" s="78" t="n">
        <f aca="false">VLOOKUP($R16,$AI$14:$AR$17,6,0)</f>
        <v>2</v>
      </c>
      <c r="X16" s="78" t="n">
        <f aca="false">VLOOKUP($R16,$AI$14:$AR$17,7,0)</f>
        <v>4</v>
      </c>
      <c r="Y16" s="78" t="n">
        <f aca="false">VLOOKUP($R16,$AI$14:$AR$17,8,0)</f>
        <v>7</v>
      </c>
      <c r="Z16" s="128" t="n">
        <f aca="false">VLOOKUP($R16,$AI$14:$AR$17,9,0)</f>
        <v>-3</v>
      </c>
      <c r="AA16" s="67" t="n">
        <f aca="false">IF(SUM($AK$14:$AK$17)=12,MIN(ABS(BY15-BY16),ABS(BY16-BY17)),100)</f>
        <v>2235000000.02</v>
      </c>
      <c r="AB16" s="68" t="str">
        <f aca="false">IF(AND(AA16&gt;=0,AA16&lt;90),VLOOKUP(Q16,$BU$14:$BV$17,2,0),"")</f>
        <v/>
      </c>
      <c r="AC16" s="69"/>
      <c r="AD16" s="70"/>
      <c r="AE16" s="71"/>
      <c r="AF16" s="24" t="n">
        <f aca="false">VLOOKUP($R16,$AI$14:$AR$17,10,0)</f>
        <v>3322210499.94</v>
      </c>
      <c r="AG16" s="11" t="n">
        <f aca="false">RANK(AU16,$AU$14:$AU$17)</f>
        <v>2</v>
      </c>
      <c r="AH16" s="11" t="n">
        <f aca="false">RANK(AR16,$AR$14:$AR$17)</f>
        <v>2</v>
      </c>
      <c r="AI16" s="10" t="str">
        <f aca="false">A15</f>
        <v>Estados unidos</v>
      </c>
      <c r="AJ16" s="11" t="n">
        <f aca="false">AL16*3+AM16*1+AN16*0</f>
        <v>5</v>
      </c>
      <c r="AK16" s="11" t="n">
        <f aca="false">COUNTIFS($I$4:$I$65,AI16,$K$4:$K$65,"&lt;&gt;",$L$4:$L$65,"&lt;&gt;")+COUNTIFS($N$4:$N$65,AI16,$L$4:$L$65,"&lt;&gt;",$K$4:$K$65,"&lt;&gt;")</f>
        <v>3</v>
      </c>
      <c r="AL16" s="11" t="n">
        <f aca="false" t="array" ref="AL16:AL16">SUM(($I$4:$I$65=AI16)*($K$4:$K$65&lt;&gt;"")*($L$4:$L$65&lt;&gt;"")*($K$4:$K$65&gt;$L$4:$L$65),($N$4:$N$65=AI16)*($K$4:$K$65&lt;&gt;"")*($L$4:$L$65&lt;&gt;"")*($K$4:$K$65&lt;$L$4:$L$65))</f>
        <v>1</v>
      </c>
      <c r="AM16" s="11" t="n">
        <f aca="false" t="array" ref="AM16:AM16">SUM(($I$4:$I$65=AI16)*($K$4:$K$65&lt;&gt;"")*($L$4:$L$65&lt;&gt;"")*($K$4:$K$65=$L$4:$L$65),($N$4:$N$65=AI16)*($K$4:$K$65&lt;&gt;"")*($L$4:$L$65&lt;&gt;"")*($K$4:$K$65=$L$4:$L$65))</f>
        <v>2</v>
      </c>
      <c r="AN16" s="11" t="n">
        <f aca="false" t="array" ref="AN16:AN16">SUM(($I$4:$I$65=AI16)*($L$4:$L$65&lt;&gt;"")*($K$4:$K$65&lt;&gt;"")*($K$4:$K$65&lt;$L$4:$L$65),($K$4:$K$65&lt;&gt;"")*($N$4:$N$65=AI16)*($L$4:$L$65&lt;&gt;"")*($K$4:$K$65&gt;$L$4:$L$65))</f>
        <v>0</v>
      </c>
      <c r="AO16" s="11" t="n">
        <f aca="false" t="array" ref="AO16:AO16">SUMIFS($K$4:$K$65,$I$4:$I$65,AI16,$K$4:$K$65,"&lt;&gt;",$L$4:$L$65,"&lt;&gt;")+SUMIFS($L$4:$L$65,$N$4:$N$65,AI16,$K$4:$K$65,"&lt;&gt;",$L$4:$L$65,"&lt;&gt;")</f>
        <v>2</v>
      </c>
      <c r="AP16" s="11" t="n">
        <f aca="false" t="array" ref="AP16:AP16">SUMIFS($K$4:$K$65,$N$4:$N$65,AI16,$K$4:$K$65,"&lt;&gt;",$L$4:$L$65,"&lt;&gt;")+SUMIFS($L$4:$L$65,$I$4:$I$65,AI16,$K$4:$K$65,"&lt;&gt;",$L$4:$L$65,"&lt;&gt;")</f>
        <v>1</v>
      </c>
      <c r="AQ16" s="11" t="n">
        <f aca="false">AO16-AP16</f>
        <v>1</v>
      </c>
      <c r="AR16" s="11" t="n">
        <f aca="false">IF(AK16=0,-($AW$11*VLOOKUP(AI16,Tabla3[[NombreEquipo]:[Rank]],3,0)),AJ16*$AW$4+AQ16*$AW$5+AO16*$AW$6+BA16-($AW$11*VLOOKUP(AI16,Tabla3[[NombreEquipo]:[Rank]],3,0)/100))</f>
        <v>5562210499.93</v>
      </c>
      <c r="AS16" s="11" t="n">
        <f aca="false">AH16</f>
        <v>2</v>
      </c>
      <c r="AU16" s="11" t="n">
        <f aca="false">IFERROR(AR16-VLOOKUP(AI16,$AB$14:$AC$17,2,0),AR16)</f>
        <v>5562210499.93</v>
      </c>
      <c r="AW16" s="31"/>
      <c r="AY16" s="72" t="str">
        <f aca="false">AI16</f>
        <v>Estados unidos</v>
      </c>
      <c r="AZ16" s="11" t="n">
        <f aca="false">COUNTIF(AJ14:AJ17,AJ16)</f>
        <v>1</v>
      </c>
      <c r="BA16" s="11" t="n">
        <f aca="false">(BB16*$AW$9)+(BH16*$AW$8)+(BN16*$AW$7)</f>
        <v>210500</v>
      </c>
      <c r="BB16" s="73" t="n">
        <f aca="false">RANK(BC16,BC14:BC17,1)</f>
        <v>1</v>
      </c>
      <c r="BC16" s="73" t="n">
        <f aca="false">SUM(IF(AND(AJ16=AJ17,AQ16=AQ17,AO16=AO17),BG16,0),IF(AND(AJ16=AJ14,AQ16=AQ14,AO16=AO14),BD16,0),IF(AND(AJ16=AJ15,AQ16=AQ15,AO16=AO15),BE16,0))</f>
        <v>0</v>
      </c>
      <c r="BD16" s="73" t="n">
        <f aca="false" t="array" ref="BD16:BD16">SUMIFS($K$12:$K$17,$I$12:$I$17,$AY16,$K$12:$K$17,"&lt;&gt;",$L$12:$L$17,"&lt;&gt;",$N$12:$N$17,BD13)+SUMIFS($L$12:$L$17,$I$12:$I$17,BD13,$K$12:$K$17,"&lt;&gt;",$L$12:$L$17,"&lt;&gt;",$N$12:$N$17,$AY16)</f>
        <v>0</v>
      </c>
      <c r="BE16" s="73" t="n">
        <f aca="false" t="array" ref="BE16:BE16">SUMIFS($K$12:$K$17,$I$12:$I$17,$AY16,$K$12:$K$17,"&lt;&gt;",$L$12:$L$17,"&lt;&gt;",$N$12:$N$17,BE13)+SUMIFS($L$12:$L$17,$I$12:$I$17,BE13,$K$12:$K$17,"&lt;&gt;",$L$12:$L$17,"&lt;&gt;",$N$12:$N$17,$AY16)</f>
        <v>1</v>
      </c>
      <c r="BF16" s="73" t="n">
        <v>0</v>
      </c>
      <c r="BG16" s="73" t="n">
        <f aca="false" t="array" ref="BG16:BG16">SUMIFS($K$12:$K$17,$I$12:$I$17,$AY16,$K$12:$K$17,"&lt;&gt;",$L$12:$L$17,"&lt;&gt;",$N$12:$N$17,BG13)+SUMIFS($L$12:$L$17,$I$12:$I$17,BG13,$K$12:$K$17,"&lt;&gt;",$L$12:$L$17,"&lt;&gt;",$N$12:$N$17,$AY16)</f>
        <v>1</v>
      </c>
      <c r="BH16" s="73" t="n">
        <f aca="false">RANK(BI16,BI14:BI17,1)</f>
        <v>1</v>
      </c>
      <c r="BI16" s="73" t="n">
        <f aca="false">SUM(IF(AND(AJ16=AJ17,AQ16=AQ17,AO16=AO17),BM16,0),IF(AND(AJ16=AJ14,AQ16=AQ14,AO16=AO14),BJ16,0),IF(AND(AJ16=AJ15,AQ16=AQ15,AO16=AO15),BK16,0))</f>
        <v>0</v>
      </c>
      <c r="BJ16" s="73" t="n">
        <f aca="false">BD16-BF14</f>
        <v>0</v>
      </c>
      <c r="BK16" s="73" t="n">
        <f aca="false">BE16-BF15</f>
        <v>1</v>
      </c>
      <c r="BL16" s="73" t="n">
        <v>0</v>
      </c>
      <c r="BM16" s="73" t="n">
        <f aca="false">BG16-BF17</f>
        <v>0</v>
      </c>
      <c r="BN16" s="73" t="n">
        <f aca="false">RANK(BO16,BO14:BO17,1)</f>
        <v>1</v>
      </c>
      <c r="BO16" s="73" t="n">
        <f aca="false">SUM(IF(AND(AJ16=AJ17,AQ16=AQ17,AO16=AO17),BS16,0),IF(AND(AJ16=AJ14,AQ16=AQ14,AO16=AO14),BP16,0),IF(AND(AJ16=AJ15,AQ16=AQ15,AO16=AO15),BQ16,0))</f>
        <v>0</v>
      </c>
      <c r="BP16" s="73" t="n">
        <f aca="false" t="array" ref="BP16:BP16">SUM((I$4:I$49=AY16)*(N$4:N$49=BP13)*(K$4:K$49&lt;&gt;"")*(L$4:L$49&lt;&gt;"")*(K$4:K$49&gt;L$4:L$49)*3,(N$4:N$49=AY16)*(I$4:I$49=BP13)*(K$4:K$49&lt;&gt;"")*(L$4:L$49&lt;&gt;"")*(K$4:K$49=L$4:L$49)*1,(N$4:N$49=AY16)*(I$4:I$49=BP13)*(K$4:K$49&lt;&gt;"")*(L$4:L$49&lt;&gt;"")*(K$4:K$49&lt;L$4:L$49)*3,(I$4:I$49=AY16)*(N$4:N$49=BP13)*(K$4:K$49&lt;&gt;"")*(L$4:L$49&lt;&gt;"")*(K$4:K$49=L$4:L$49)*1)</f>
        <v>1</v>
      </c>
      <c r="BQ16" s="73" t="n">
        <f aca="false" t="array" ref="BQ16:BQ16">SUM((I$4:I$49=AY16)*(N$4:N$49=BQ13)*(K$4:K$49&lt;&gt;"")*(L$4:L$49&lt;&gt;"")*(K$4:K$49&gt;L$4:L$49)*3,(N$4:N$49=AY16)*(I$4:I$49=BQ13)*(K$4:K$49&lt;&gt;"")*(L$4:L$49&lt;&gt;"")*(K$4:K$49=L$4:L$49)*1,(N$4:N$49=AY16)*(I$4:I$49=BQ13)*(K$4:K$49&lt;&gt;"")*(L$4:L$49&lt;&gt;"")*(K$4:K$49&lt;L$4:L$49)*3,(I$4:I$49=AY16)*(N$4:N$49=BQ13)*(K$4:K$49&lt;&gt;"")*(L$4:L$49&lt;&gt;"")*(K$4:K$49=L$4:L$49)*1)</f>
        <v>3</v>
      </c>
      <c r="BR16" s="73" t="n">
        <v>0</v>
      </c>
      <c r="BS16" s="73" t="n">
        <f aca="false" t="array" ref="BS16:BS16">SUM((I$4:I$49=AY16)*(N$4:N$49=BS13)*(K$4:K$49&lt;&gt;"")*(L$4:L$49&lt;&gt;"")*(K$4:K$49&gt;L$4:L$49)*3,(N$4:N$49=AY16)*(I$4:I$49=BS13)*(K$4:K$49&lt;&gt;"")*(L$4:L$49&lt;&gt;"")*(K$4:K$49=L$4:L$49)*1,(N$4:N$49=AY16)*(I$4:I$49=BS13)*(K$4:K$49&lt;&gt;"")*(L$4:L$49&lt;&gt;"")*(K$4:K$49&lt;L$4:L$49)*3,(I$4:I$49=AY16)*(N$4:N$49=BS13)*(K$4:K$49&lt;&gt;"")*(L$4:L$49&lt;&gt;"")*(K$4:K$49=L$4:L$49)*1)</f>
        <v>1</v>
      </c>
      <c r="BT16" s="10" t="n">
        <v>3</v>
      </c>
      <c r="BU16" s="10" t="n">
        <f aca="false">RANK(BW16,$BW$14:$BW$17)</f>
        <v>2</v>
      </c>
      <c r="BV16" s="10" t="str">
        <f aca="false">A15</f>
        <v>Estados unidos</v>
      </c>
      <c r="BW16" s="10" t="n">
        <f aca="false">IF(AK16=0,-($AW$11*VLOOKUP(AI16,Tabla3[[NombreEquipo]:[Rank]],3,0)),AJ16*$AW$4+BA16+AQ16*$AW$8+AO16*$AW$9+AL16*$AW$10-($AW$11*VLOOKUP(AI16,Tabla3[[NombreEquipo]:[Rank]],3,0)/100))</f>
        <v>5555221599.93</v>
      </c>
      <c r="BX16" s="10" t="str">
        <f aca="false">VLOOKUP(Q16,$AH$14:$AI$17,2,0)</f>
        <v>Irán</v>
      </c>
      <c r="BY16" s="10" t="n">
        <f aca="false">VLOOKUP($BX16,$AI$14:$AR$17,10,0)</f>
        <v>3322210499.94</v>
      </c>
      <c r="BZ16" s="10"/>
      <c r="CA16" s="10" t="n">
        <v>3</v>
      </c>
      <c r="CB16" s="10" t="str">
        <f aca="false">VLOOKUP(CA16,$AH$14:$AI$17,2,0)</f>
        <v>Irán</v>
      </c>
      <c r="CC16" s="10" t="n">
        <f aca="false">VLOOKUP(CB16,$AI$14:$AR$17,2,0)</f>
        <v>3</v>
      </c>
      <c r="CD16" s="74" t="n">
        <f aca="false">IF(SUM($AK$14:$AK$17)=12,MIN(ABS(BY15-BY16),ABS(BY16-BY17)),100)</f>
        <v>2235000000.02</v>
      </c>
      <c r="CE16" s="10" t="n">
        <f aca="false">VLOOKUP($CB16,$AI$14:$AR$17,9,0)</f>
        <v>-3</v>
      </c>
      <c r="CF16" s="10" t="n">
        <f aca="false">VLOOKUP($CB16,$AI$14:$AR$17,7,0)</f>
        <v>4</v>
      </c>
      <c r="CG16" s="10"/>
      <c r="CH16" s="10" t="n">
        <f aca="false" t="array" ref="CH16:CH16">IF($CI$14=$CL$13,$EC$13:$EC$16,IF($CI$14=$CM$13,$ED$13:$ED$15,IF(OR($CI$14=$CN$13,$CI$14=$CR$13),$EG$13:$EG$14,IF($CI$14=$CP$13,$EF$13:$EF$15,(IF($CI$14=$CQ$13,$EH$13:$EH$14,$EK$13))))))</f>
        <v>3</v>
      </c>
      <c r="CK16" s="11" t="n">
        <v>3</v>
      </c>
      <c r="CL16" s="11" t="n">
        <f aca="false" t="array" ref="CL16:CL16">IF(AND($CC$14:$CC$17=$CC$16,$CD$14:$CD$17&lt;90,$AQ$14:$AQ$17=$AQ$16,$CF$14:$CF$17=$CF$16),1,0)</f>
        <v>0</v>
      </c>
      <c r="CM16" s="11" t="n">
        <f aca="false" t="array" ref="CM16:CM16">IF(AND($CC$14:$CC$16=$CC$16,$CD$14:$CD$16&lt;90,$CC$16&lt;&gt;$CC$17),1,0)</f>
        <v>0</v>
      </c>
      <c r="CN16" s="11" t="n">
        <f aca="false" t="array" ref="CN16:CN16">IF(AND($CC$16:$CC$17=$CC$16,$CD$16:$CD$17&lt;90,$CC$16&lt;&gt;$CC$15),1,0)</f>
        <v>0</v>
      </c>
      <c r="CO16" s="11" t="n">
        <f aca="false" t="array" ref="CO16:CO16">IF(OR(AND($CC$16&lt;&gt;$CC$15,$CC$16&lt;&gt;$CC$17),AND($CC$16&lt;&gt;$CC$15,$CC$16=$CC$17,$CD$16&gt;90,$CD$17&gt;90)),1,0)</f>
        <v>1</v>
      </c>
      <c r="CP16" s="11" t="n">
        <f aca="false" t="array" ref="CP16:CP16">IF(AND($CC$15:$CC$17=$CC$15,$CD$15:$CD$17&lt;90,$CC$14&lt;&gt;$CC$16),1,0)</f>
        <v>0</v>
      </c>
      <c r="CQ16" s="11" t="n">
        <f aca="false" t="array" ref="CQ16:CQ16">IF(AND($CC$15:$CC$16=$CC$16,$CD$15:$CD$16&lt;90,$CC$16&lt;&gt;$CC$14,$CC$16&lt;&gt;$CC$17),1,0)</f>
        <v>0</v>
      </c>
      <c r="CR16" s="11" t="n">
        <f aca="false" t="array" ref="CR16:CR16">IF(AND($CC$16:$CC$17=$CC$16,$CD$16:$CD$17&lt;90,$CC$16&lt;&gt;$CC$15),1,0)</f>
        <v>0</v>
      </c>
      <c r="CS16" s="11" t="n">
        <f aca="false" t="array" ref="CS16:CS16">IF(AND($CC$16&lt;&gt;$CC$15,$CC$16&lt;&gt;$CC$17),1,0)</f>
        <v>1</v>
      </c>
      <c r="CT16" s="11" t="n">
        <f aca="false" t="array" ref="CT16:CT16">IF(AND($CC$14:$CC$17=$CC$14,$CD$14:$CD$17&lt;90,$CE$16:$CE$17=$CE$16,$CE$15&lt;&gt;$CE$16),1,0)</f>
        <v>0</v>
      </c>
      <c r="CU16" s="11" t="n">
        <f aca="false" t="array" ref="CU16:CU16">IF(AND($CC$14:$CC$17=$CC$14,$CD$14:$CD$17&lt;90,$CE$14:$CE$17=$CE$14,$CF$16=$CF$17,$CF$15&lt;&gt;$CF$16),1,0)</f>
        <v>0</v>
      </c>
      <c r="CV16" s="11" t="n">
        <f aca="false" t="array" ref="CV16:CV16">IF(AND($CC$14:$CC$16=$CC$16,$CD$14:$CD$15&lt;90,$CD$16&gt;90),1,0)</f>
        <v>0</v>
      </c>
      <c r="CW16" s="11" t="n">
        <f aca="false" t="array" ref="CW16:CW16">IF(AND($CC$15&lt;&gt;$CC$14,$CC$15:$CC$17=$CC$16,$CD$15&gt;90,$CD$16:$CD$17&lt;90),1,0)</f>
        <v>0</v>
      </c>
      <c r="CX16" s="11" t="n">
        <f aca="false" t="array" ref="CX16:CX16">IF(AND($CC$15&lt;&gt;$CC$14,$CC$15:$CC$17=$CC$15,$CD$17&gt;90,$CD$15:$CD$16&lt;90),1,0)</f>
        <v>0</v>
      </c>
      <c r="CY16" s="11" t="n">
        <f aca="false" t="array" ref="CY16:CY16">IF(AND($CC$16&lt;&gt;$CC$17,$CC$14:$CC$16=$CC$16,$CD$14&gt;90,$CD$15:$CD$16&lt;90),1,0)</f>
        <v>0</v>
      </c>
      <c r="CZ16" s="11" t="n">
        <f aca="false" t="array" ref="CZ16:CZ16">IF(AND($CC$14:$CC$17=$CC$15,$CD$15:$CD$17&lt;90,$CD$14&lt;&gt;$CD$16),1,0)</f>
        <v>0</v>
      </c>
      <c r="DA16" s="11" t="n">
        <f aca="false" t="array" ref="DA16:DA16">IF(AND($CC$14:$CC$17=$CC$16,$CD$14:$CD$16&lt;90,$CD$16&lt;&gt;$CD$17),1,0)</f>
        <v>0</v>
      </c>
      <c r="DB16" s="11" t="n">
        <f aca="false" t="array" ref="DB16:DB16">IF(AND($CC$14:$CC$17=$CC$16,$CD$14:$CD$15&gt;90,$CD$16:$CD$17&lt;90,$CE$14:$CE$17=$CE$16,$CF$14&gt;$CF$15,$CF$15&gt;$CF$16,$CF$16=$CF$17),1,0)</f>
        <v>0</v>
      </c>
      <c r="DC16" s="11" t="n">
        <f aca="false" t="array" ref="DC16:DC16">IF(AND($CC$14:$CC$17=$CC$16,$CD$14&gt;90,$CD$15:$CD$16&lt;90,$CD$17&gt;90,$CE$14:$CE$17=$CE$16,$CF$14&gt;$CF$15,$CF$15=$CF$16,$CF$16&gt;$CF$17),1,0)</f>
        <v>0</v>
      </c>
      <c r="DD16" s="11" t="n">
        <f aca="false" t="array" ref="DD16:DD16">IF(AND($CC$14:$CC$17=$CC$16,$CD$14:$CD$15&lt;90,$CD$16:$CD$17&gt;90,$CE$14:$CE$17=$CE$16,$CF$14=$CF$15,$CF$15&gt;$CF$16,$CF$16&gt;$CF$17),1,0)</f>
        <v>0</v>
      </c>
      <c r="DE16" s="11" t="n">
        <f aca="false" t="array" ref="DE16:DE16">IF(AND($CC$14:$CC$17=$CC$16,$CD$14:$CD$15&gt;90,$CD$16:$CD$17&lt;90,$CE$14:$CE$17=$CE$15,$CF$14&gt;$CF$16,$CF$15:$CF$17=$CF$16),1,0)</f>
        <v>0</v>
      </c>
      <c r="DF16" s="11" t="n">
        <f aca="false" t="array" ref="DF16:DF16">IF(AND($CC$14:$CC$17=$CC$16,$CD$14:$CD$15&lt;90,$CD$16:$CD$17&gt;90,$CE$14:$CE$17=$CE$16,$CF$14:$CF$16=$CF$16,$CF$16&gt;$CF$17),1,0)</f>
        <v>0</v>
      </c>
      <c r="DG16" s="11" t="n">
        <f aca="false" t="array" ref="DG16:DG16">IF(AND($CC$14:$CC$17=$CC$16,$CD$14&gt;90,$CD$17&gt;90,$CD$15:$CD$16&lt;90,$CE$14:$CE$17=$CE$16,$CF$14&gt;$CF$15:$CF$17,$CF$15:$CF$17=$CF$16),1,0)</f>
        <v>0</v>
      </c>
      <c r="EC16" s="10" t="n">
        <v>4</v>
      </c>
      <c r="ED16" s="10"/>
      <c r="EE16" s="10"/>
      <c r="EF16" s="10"/>
      <c r="EG16" s="10"/>
      <c r="EH16" s="10"/>
      <c r="EI16" s="10"/>
      <c r="EJ16" s="10"/>
      <c r="EK16" s="10"/>
      <c r="EL16" s="10"/>
      <c r="FI16" s="73"/>
      <c r="FK16" s="73"/>
      <c r="FM16" s="73"/>
    </row>
    <row r="17" s="11" customFormat="true" ht="15.75" hidden="false" customHeight="false" outlineLevel="0" collapsed="false">
      <c r="A17" s="12"/>
      <c r="B17" s="33"/>
      <c r="C17" s="12"/>
      <c r="D17" s="35"/>
      <c r="E17" s="102"/>
      <c r="F17" s="129" t="n">
        <f aca="false">Horarios!C17</f>
        <v>44894.9166666667</v>
      </c>
      <c r="G17" s="130" t="n">
        <f aca="false">Horarios!C17</f>
        <v>44894.9166666667</v>
      </c>
      <c r="H17" s="129" t="s">
        <v>77</v>
      </c>
      <c r="I17" s="131" t="str">
        <f aca="false">A14</f>
        <v>Irán</v>
      </c>
      <c r="J17" s="132" t="str">
        <f aca="false">VLOOKUP(I17,Equipos!$H$2:$I$33,2,0)</f>
        <v>🇮🇷</v>
      </c>
      <c r="K17" s="133" t="n">
        <v>0</v>
      </c>
      <c r="L17" s="133" t="n">
        <v>1</v>
      </c>
      <c r="M17" s="134" t="str">
        <f aca="false">VLOOKUP(N17,Equipos!$H$2:$I$33,2,0)</f>
        <v>🇺🇸</v>
      </c>
      <c r="N17" s="135" t="str">
        <f aca="false">A15</f>
        <v>Estados unidos</v>
      </c>
      <c r="O17" s="44" t="n">
        <f aca="false">IF(NOT(OR(ISBLANK(K17),ISBLANK(L17))),1,0)</f>
        <v>1</v>
      </c>
      <c r="P17" s="45"/>
      <c r="Q17" s="136" t="n">
        <v>4</v>
      </c>
      <c r="R17" s="137" t="str">
        <f aca="false">VLOOKUP(Q17,$AG$14:$AI$17,3,0)</f>
        <v>Gales</v>
      </c>
      <c r="S17" s="138" t="n">
        <f aca="false">VLOOKUP(R17,$AI$14:$AR$17,2,0)</f>
        <v>1</v>
      </c>
      <c r="T17" s="138" t="n">
        <f aca="false">VLOOKUP($R17,$AI$14:$AR$17,3,0)</f>
        <v>3</v>
      </c>
      <c r="U17" s="138" t="n">
        <f aca="false">VLOOKUP($R17,$AI$14:$AR$17,4,0)</f>
        <v>0</v>
      </c>
      <c r="V17" s="138" t="n">
        <f aca="false">VLOOKUP($R17,$AI$14:$AR$17,5,0)</f>
        <v>1</v>
      </c>
      <c r="W17" s="138" t="n">
        <f aca="false">VLOOKUP($R17,$AI$14:$AR$17,6,0)</f>
        <v>2</v>
      </c>
      <c r="X17" s="138" t="n">
        <f aca="false">VLOOKUP($R17,$AI$14:$AR$17,7,0)</f>
        <v>1</v>
      </c>
      <c r="Y17" s="138" t="n">
        <f aca="false">VLOOKUP($R17,$AI$14:$AR$17,8,0)</f>
        <v>6</v>
      </c>
      <c r="Z17" s="139" t="n">
        <f aca="false">VLOOKUP($R17,$AI$14:$AR$17,9,0)</f>
        <v>-5</v>
      </c>
      <c r="AA17" s="67" t="n">
        <f aca="false">IF(SUM($AK$14:$AK$17)=12,MIN(ABS(BY16-BY17),ABS(BY17-BY18)),100)</f>
        <v>1087210499.92</v>
      </c>
      <c r="AB17" s="68" t="str">
        <f aca="false">IF(AND(AA17&gt;=0,AA17&lt;90),VLOOKUP(Q17,$BU$14:$BV$17,2,0),"")</f>
        <v/>
      </c>
      <c r="AC17" s="69"/>
      <c r="AD17" s="70"/>
      <c r="AE17" s="71"/>
      <c r="AF17" s="24" t="n">
        <f aca="false">VLOOKUP($R17,$AI$14:$AR$17,10,0)</f>
        <v>1087210499.92</v>
      </c>
      <c r="AG17" s="11" t="n">
        <f aca="false">RANK(AU17,$AU$14:$AU$17)</f>
        <v>4</v>
      </c>
      <c r="AH17" s="11" t="n">
        <f aca="false">RANK(AR17,$AR$14:$AR$17)</f>
        <v>4</v>
      </c>
      <c r="AI17" s="10" t="str">
        <f aca="false">A16</f>
        <v>Gales</v>
      </c>
      <c r="AJ17" s="11" t="n">
        <f aca="false">AL17*3+AM17*1+AN17*0</f>
        <v>1</v>
      </c>
      <c r="AK17" s="11" t="n">
        <f aca="false">COUNTIFS($I$4:$I$65,AI17,$K$4:$K$65,"&lt;&gt;",$L$4:$L$65,"&lt;&gt;")+COUNTIFS($N$4:$N$65,AI17,$L$4:$L$65,"&lt;&gt;",$K$4:$K$65,"&lt;&gt;")</f>
        <v>3</v>
      </c>
      <c r="AL17" s="11" t="n">
        <f aca="false" t="array" ref="AL17:AL17">SUM(($I$4:$I$65=AI17)*($K$4:$K$65&lt;&gt;"")*($L$4:$L$65&lt;&gt;"")*($K$4:$K$65&gt;$L$4:$L$65),($N$4:$N$65=AI17)*($K$4:$K$65&lt;&gt;"")*($L$4:$L$65&lt;&gt;"")*($K$4:$K$65&lt;$L$4:$L$65))</f>
        <v>0</v>
      </c>
      <c r="AM17" s="11" t="n">
        <f aca="false" t="array" ref="AM17:AM17">SUM(($I$4:$I$65=AI17)*($K$4:$K$65&lt;&gt;"")*($L$4:$L$65&lt;&gt;"")*($K$4:$K$65=$L$4:$L$65),($N$4:$N$65=AI17)*($K$4:$K$65&lt;&gt;"")*($L$4:$L$65&lt;&gt;"")*($K$4:$K$65=$L$4:$L$65))</f>
        <v>1</v>
      </c>
      <c r="AN17" s="11" t="n">
        <f aca="false" t="array" ref="AN17:AN17">SUM(($I$4:$I$65=AI17)*($L$4:$L$65&lt;&gt;"")*($K$4:$K$65&lt;&gt;"")*($K$4:$K$65&lt;$L$4:$L$65),($K$4:$K$65&lt;&gt;"")*($N$4:$N$65=AI17)*($L$4:$L$65&lt;&gt;"")*($K$4:$K$65&gt;$L$4:$L$65))</f>
        <v>2</v>
      </c>
      <c r="AO17" s="11" t="n">
        <f aca="false" t="array" ref="AO17:AO17">SUMIFS($K$4:$K$65,$I$4:$I$65,AI17,$K$4:$K$65,"&lt;&gt;",$L$4:$L$65,"&lt;&gt;")+SUMIFS($L$4:$L$65,$N$4:$N$65,AI17,$K$4:$K$65,"&lt;&gt;",$L$4:$L$65,"&lt;&gt;")</f>
        <v>1</v>
      </c>
      <c r="AP17" s="11" t="n">
        <f aca="false" t="array" ref="AP17:AP17">SUMIFS($K$4:$K$65,$N$4:$N$65,AI17,$K$4:$K$65,"&lt;&gt;",$L$4:$L$65,"&lt;&gt;")+SUMIFS($L$4:$L$65,$I$4:$I$65,AI17,$K$4:$K$65,"&lt;&gt;",$L$4:$L$65,"&lt;&gt;")</f>
        <v>6</v>
      </c>
      <c r="AQ17" s="11" t="n">
        <f aca="false">AO17-AP17</f>
        <v>-5</v>
      </c>
      <c r="AR17" s="11" t="n">
        <f aca="false">IF(AK17=0,-($AW$11*VLOOKUP(AI17,Tabla3[[NombreEquipo]:[Rank]],3,0)),AJ17*$AW$4+AQ17*$AW$5+AO17*$AW$6+BA17-($AW$11*VLOOKUP(AI17,Tabla3[[NombreEquipo]:[Rank]],3,0)/100))</f>
        <v>1087210499.92</v>
      </c>
      <c r="AS17" s="11" t="n">
        <f aca="false">AH17</f>
        <v>4</v>
      </c>
      <c r="AU17" s="11" t="n">
        <f aca="false">IFERROR(AR17-VLOOKUP(AI17,$AB$14:$AC$17,2,0),AR17)</f>
        <v>1087210499.92</v>
      </c>
      <c r="AW17" s="31"/>
      <c r="AY17" s="72" t="str">
        <f aca="false">AI17</f>
        <v>Gales</v>
      </c>
      <c r="AZ17" s="11" t="n">
        <f aca="false">COUNTIF(AJ14:AJ17,AJ17)</f>
        <v>1</v>
      </c>
      <c r="BA17" s="11" t="n">
        <f aca="false">(BB17*$AW$9)+(BH17*$AW$8)+(BN17*$AW$7)</f>
        <v>210500</v>
      </c>
      <c r="BB17" s="73" t="n">
        <f aca="false">RANK(BC17,BC14:BC17,1)</f>
        <v>1</v>
      </c>
      <c r="BC17" s="73" t="n">
        <f aca="false">SUM(IF(AND(AJ17=AJ14,AQ17=AQ14,AO17=AO14),BD17,0),IF(AND(AJ17=AJ15,AQ17=AQ15,AO17=AO15),BE17,0),IF(AND(AJ17=AJ16,AQ17=AQ16,AO17=AO16),BF17,0))</f>
        <v>0</v>
      </c>
      <c r="BD17" s="73" t="n">
        <f aca="false" t="array" ref="BD17:BD17">SUMIFS($K$12:$K$17,$I$12:$I$17,$AY17,$K$12:$K$17,"&lt;&gt;",$L$12:$L$17,"&lt;&gt;",$N$12:$N$17,BD13)+SUMIFS($L$12:$L$17,$I$12:$I$17,BD13,$K$12:$K$17,"&lt;&gt;",$L$12:$L$17,"&lt;&gt;",$N$12:$N$17,$AY17)</f>
        <v>0</v>
      </c>
      <c r="BE17" s="73" t="n">
        <f aca="false" t="array" ref="BE17:BE17">SUMIFS($K$12:$K$17,$I$12:$I$17,$AY17,$K$12:$K$17,"&lt;&gt;",$L$12:$L$17,"&lt;&gt;",$N$12:$N$17,BE13)+SUMIFS($L$12:$L$17,$I$12:$I$17,BE13,$K$12:$K$17,"&lt;&gt;",$L$12:$L$17,"&lt;&gt;",$N$12:$N$17,$AY17)</f>
        <v>0</v>
      </c>
      <c r="BF17" s="73" t="n">
        <f aca="false" t="array" ref="BF17:BF17">SUMIFS($K$12:$K$17,$I$12:$I$17,$AY17,$K$12:$K$17,"&lt;&gt;",$L$12:$L$17,"&lt;&gt;",$N$12:$N$17,BF13)+SUMIFS($L$12:$L$17,$I$12:$I$17,BF13,$K$12:$K$17,"&lt;&gt;",$L$12:$L$17,"&lt;&gt;",$N$12:$N$17,$AY17)</f>
        <v>1</v>
      </c>
      <c r="BG17" s="73" t="n">
        <v>0</v>
      </c>
      <c r="BH17" s="73" t="n">
        <f aca="false">RANK(BI17,BI14:BI17,1)</f>
        <v>1</v>
      </c>
      <c r="BI17" s="73" t="n">
        <f aca="false">SUM(IF(AND(AJ17=AJ14,AQ17=AQ14,AO17=AO14),BJ17,0),IF(AND(AJ17=AJ15,AQ17=AQ15,AO17=AO15),BK17,0),IF(AND(AJ17=AJ16,AQ17=AQ16,AO17=AO16),BL17,0))</f>
        <v>0</v>
      </c>
      <c r="BJ17" s="73" t="n">
        <f aca="false">BD17-BG14</f>
        <v>-3</v>
      </c>
      <c r="BK17" s="73" t="n">
        <f aca="false">BE17-BG15</f>
        <v>-2</v>
      </c>
      <c r="BL17" s="73" t="n">
        <f aca="false">BF17-BG16</f>
        <v>0</v>
      </c>
      <c r="BM17" s="73" t="n">
        <v>0</v>
      </c>
      <c r="BN17" s="73" t="n">
        <f aca="false">RANK(BO17,BO14:BO17,1)</f>
        <v>1</v>
      </c>
      <c r="BO17" s="73" t="n">
        <f aca="false">SUM(IF(AND(AJ17=AJ14,AQ17=AQ14,AO17=AO14),BP17,0),IF(AND(AJ17=AJ15,AQ17=AQ15,AO17=AO15),BQ17,0),IF(AND(AJ17=AJ16,AQ17=AQ16,AO17=AO16),BR17,0))</f>
        <v>0</v>
      </c>
      <c r="BP17" s="73" t="n">
        <f aca="false" t="array" ref="BP17:BP17">SUM((I$4:I$49=AY17)*(N$4:N$49=BP13)*(K$4:K$49&lt;&gt;"")*(L$4:L$49&lt;&gt;"")*(K$4:K$49&gt;L$4:L$49)*3,(N$4:N$49=AY17)*(I$4:I$49=BP13)*(K$4:K$49&lt;&gt;"")*(L$4:L$49&lt;&gt;"")*(K$4:K$49=L$4:L$49)*1,(N$4:N$49=AY17)*(I$4:I$49=BP13)*(K$4:K$49&lt;&gt;"")*(L$4:L$49&lt;&gt;"")*(K$4:K$49&lt;L$4:L$49)*3,(I$4:I$49=AY17)*(N$4:N$49=BP13)*(K$4:K$49&lt;&gt;"")*(L$4:L$49&lt;&gt;"")*(K$4:K$49=L$4:L$49)*1)</f>
        <v>0</v>
      </c>
      <c r="BQ17" s="73" t="n">
        <f aca="false" t="array" ref="BQ17:BQ17">SUM((I$4:I$49=AY17)*(N$4:N$49=BQ13)*(K$4:K$49&lt;&gt;"")*(L$4:L$49&lt;&gt;"")*(K$4:K$49&gt;L$4:L$49)*3,(N$4:N$49=AY17)*(I$4:I$49=BQ13)*(K$4:K$49&lt;&gt;"")*(L$4:L$49&lt;&gt;"")*(K$4:K$49=L$4:L$49)*1,(N$4:N$49=AY17)*(I$4:I$49=BQ13)*(K$4:K$49&lt;&gt;"")*(L$4:L$49&lt;&gt;"")*(K$4:K$49&lt;L$4:L$49)*3,(I$4:I$49=AY17)*(N$4:N$49=BQ13)*(K$4:K$49&lt;&gt;"")*(L$4:L$49&lt;&gt;"")*(K$4:K$49=L$4:L$49)*1)</f>
        <v>0</v>
      </c>
      <c r="BR17" s="73" t="n">
        <f aca="false" t="array" ref="BR17:BR17">SUM((I$4:I$49=AY17)*(N$4:N$49=BR13)*(K$4:K$49&lt;&gt;"")*(L$4:L$49&lt;&gt;"")*(K$4:K$49&gt;L$4:L$49)*3,(N$4:N$49=AY17)*(I$4:I$49=BR13)*(K$4:K$49&lt;&gt;"")*(L$4:L$49&lt;&gt;"")*(K$4:K$49=L$4:L$49)*1,(N$4:N$49=AY17)*(I$4:I$49=BR13)*(K$4:K$49&lt;&gt;"")*(L$4:L$49&lt;&gt;"")*(K$4:K$49&lt;L$4:L$49)*3,(I$4:I$49=AY17)*(N$4:N$49=BR13)*(K$4:K$49&lt;&gt;"")*(L$4:L$49&lt;&gt;"")*(K$4:K$49=L$4:L$49)*1)</f>
        <v>1</v>
      </c>
      <c r="BS17" s="73" t="n">
        <v>0</v>
      </c>
      <c r="BT17" s="10" t="n">
        <v>4</v>
      </c>
      <c r="BU17" s="10" t="n">
        <f aca="false">RANK(BW17,$BW$14:$BW$17)</f>
        <v>4</v>
      </c>
      <c r="BV17" s="10" t="str">
        <f aca="false">A16</f>
        <v>Gales</v>
      </c>
      <c r="BW17" s="10" t="n">
        <f aca="false">IF(AK17=0,-($AW$11*VLOOKUP(AI17,Tabla3[[NombreEquipo]:[Rank]],3,0)),AJ17*$AW$4+BA17+AQ17*$AW$8+AO17*$AW$9+AL17*$AW$10-($AW$11*VLOOKUP(AI17,Tabla3[[NombreEquipo]:[Rank]],3,0)/100))</f>
        <v>1111160999.92</v>
      </c>
      <c r="BX17" s="10" t="str">
        <f aca="false">VLOOKUP(Q17,$AH$14:$AI$17,2,0)</f>
        <v>Gales</v>
      </c>
      <c r="BY17" s="10" t="n">
        <f aca="false">VLOOKUP($BX17,$AI$14:$AR$17,10,0)</f>
        <v>1087210499.92</v>
      </c>
      <c r="BZ17" s="10"/>
      <c r="CA17" s="10" t="n">
        <v>4</v>
      </c>
      <c r="CB17" s="10" t="str">
        <f aca="false">VLOOKUP(CA17,$AH$14:$AI$17,2,0)</f>
        <v>Gales</v>
      </c>
      <c r="CC17" s="10" t="n">
        <f aca="false">VLOOKUP(CB17,$AI$14:$AR$17,2,0)</f>
        <v>1</v>
      </c>
      <c r="CD17" s="74" t="n">
        <f aca="false">IF(SUM($AK$14:$AK$17)=12,MIN(ABS(BY16-BY17),ABS(BY17-BY18)),100)</f>
        <v>1087210499.92</v>
      </c>
      <c r="CE17" s="10" t="n">
        <f aca="false">VLOOKUP($CB17,$AI$14:$AR$17,9,0)</f>
        <v>-5</v>
      </c>
      <c r="CF17" s="10" t="n">
        <f aca="false">VLOOKUP($CB17,$AI$14:$AR$17,7,0)</f>
        <v>1</v>
      </c>
      <c r="CG17" s="10"/>
      <c r="CH17" s="10" t="n">
        <f aca="false" t="array" ref="CH17:CH17">IF($CI$14=$CL$13,$EC$13:$EC$16,IF(OR($CI$14=$CN$13,$CI$14=$CR$13),$EG$13:$EG$14,IF($CI$14=$CP$13,$EF$13:$EF$15,$EL$13)))</f>
        <v>4</v>
      </c>
      <c r="CK17" s="11" t="n">
        <v>4</v>
      </c>
      <c r="CL17" s="11" t="n">
        <f aca="false" t="array" ref="CL17:CL17">IF(AND($CC$14:$CC$17=$CC$17,$CD$14:$CD$17&lt;90,$AQ$14:$AQ$17=$AQ$17,$CF$14:$CF$17=$CF$17),1,0)</f>
        <v>0</v>
      </c>
      <c r="CM17" s="11" t="n">
        <f aca="false" t="array" ref="CM17:CM17">IF(AND($CC$14:$CC$16=$CC$14,$CD$14:$CD$16&lt;90,$CD$17&gt;90,$CC$14&lt;&gt;$CC$17),1,0)</f>
        <v>0</v>
      </c>
      <c r="CN17" s="11" t="n">
        <f aca="false" t="array" ref="CN17:CN17">IF(AND($CC$16:$CC$17=$CC$16,$CD$16:$CD$17&lt;90,$CC$16&lt;&gt;$CC$15),1,0)</f>
        <v>0</v>
      </c>
      <c r="CO17" s="11" t="n">
        <f aca="false" t="array" ref="CO17:CO17">IF(AND($CC$17&lt;&gt;$CC$15,$CC$17&lt;&gt;$CC$14),1,0)</f>
        <v>1</v>
      </c>
      <c r="CP17" s="11" t="n">
        <f aca="false" t="array" ref="CP17:CP17">IF(AND($CC$15:$CC$17=$CC$15,$CD$15:$CD$17&lt;90,$CC$14&lt;&gt;$CC$17),1,0)</f>
        <v>0</v>
      </c>
      <c r="CQ17" s="11" t="n">
        <f aca="false" t="array" ref="CQ17:CQ17">IF(AND($CC$17&lt;&gt;$CC$15,$CC$17&lt;&gt;$CC$14),1,0)</f>
        <v>1</v>
      </c>
      <c r="CR17" s="11" t="n">
        <f aca="false" t="array" ref="CR17:CR17">IF(AND($CC$16:$CC$17=$CC$16,$CD$16:$CD$17&lt;90,$CC$16&lt;&gt;$CC$15),1,0)</f>
        <v>0</v>
      </c>
      <c r="CS17" s="11" t="n">
        <f aca="false" t="array" ref="CS17:CS17">IF(AND($CC$17&lt;&gt;$CC$15,$CC$17&lt;&gt;$CC$14),1,0)</f>
        <v>1</v>
      </c>
      <c r="CT17" s="11" t="n">
        <f aca="false" t="array" ref="CT17:CT17">IF(AND($CC$14:$CC$17=$CC$14,$CD$14:$CD$17&lt;90,$CE$16:$CE$17=$CE$17,$CE$15&lt;&gt;$CE$17),1,0)</f>
        <v>0</v>
      </c>
      <c r="CU17" s="11" t="n">
        <f aca="false" t="array" ref="CU17:CU17">IF(AND($CC$14:$CC$17=$CC$14,$CD$14:$CD$17&lt;90,$CE$14:$CE$17=$CE$14,$CF$16=$CF$17,$CF$15&lt;&gt;$CF$16),1,0)</f>
        <v>0</v>
      </c>
      <c r="CV17" s="11" t="n">
        <f aca="false" t="array" ref="CV17:CV17">IF(AND($CC$14:$CC$16=$CC$14,$CD$14:$CD$15&lt;90,$CC$16&lt;&gt;$CC$17),1,0)</f>
        <v>0</v>
      </c>
      <c r="CW17" s="11" t="n">
        <f aca="false" t="array" ref="CW17:CW17">IF(AND($CC$15&lt;&gt;$CC$14,$CC$15:$CC$17=$CC$16,$CD$15&gt;90,$CD$16:$CD$17&lt;90),1,0)</f>
        <v>0</v>
      </c>
      <c r="CX17" s="11" t="n">
        <f aca="false" t="array" ref="CX17:CX17">IF(AND($CC$15&lt;&gt;$CC$14,$CC$15:$CC$17=$CC$15,$CD$17&gt;90,$CD$15:$CD$16&lt;90),1,0)</f>
        <v>0</v>
      </c>
      <c r="CY17" s="11" t="n">
        <f aca="false" t="array" ref="CY17:CY17">IF(AND($CC$17&lt;&gt;$CC$15,$CC$17&lt;&gt;$CC$16),1,0)</f>
        <v>1</v>
      </c>
      <c r="CZ17" s="11" t="n">
        <f aca="false" t="array" ref="CZ17:CZ17">IF(AND($CC$14:$CC$17=$CC$15,$CD$15:$CD$17&lt;90,$CD$14&lt;&gt;$CD$17),1,0)</f>
        <v>0</v>
      </c>
      <c r="DA17" s="11" t="n">
        <f aca="false" t="array" ref="DA17:DA17">IF(AND($CC$14:$CC$17=$CC$14,$CD$14:$CD$16&lt;90,$CD$16&lt;&gt;$CD$17),1,0)</f>
        <v>0</v>
      </c>
      <c r="DB17" s="11" t="n">
        <f aca="false" t="array" ref="DB17:DB17">IF(AND($CC$14:$CC$17=$CC$17,$CD$14:$CD$15&gt;90,$CD$16:$CD$17&lt;90,$CE$14:$CE$17=$CE$17,$CF$14&gt;$CF$15,$CF$15&gt;$CF$17,$CF$16=$CF$17),1,0)</f>
        <v>0</v>
      </c>
      <c r="DC17" s="11" t="n">
        <f aca="false" t="array" ref="DC17:DC17">IF(AND($CC$14:$CC$17=$CC$15,$CD$14&gt;90,$CD$15:$CD$16&lt;90,$CD$17&gt;90,$CE$14:$CE$17=$CE$17,$CF$14&gt;$CF$17,$CF$15=$CF$16,$CF$15&gt;$CF$17),1,0)</f>
        <v>0</v>
      </c>
      <c r="DD17" s="11" t="n">
        <f aca="false" t="array" ref="DD17:DD17">IF(AND($CC$14:$CC$17=$CC$17,$CD$14:$CD$15&lt;90,$CD$16:$CD$17&gt;90,$CE$14:$CE$17=$CE$17,$CF$14=$CF$15,$CF$15&gt;$CF$16,$CF$16&gt;$CF$17),1,0)</f>
        <v>0</v>
      </c>
      <c r="DE17" s="11" t="n">
        <f aca="false" t="array" ref="DE17:DE17">IF(AND($CC$14:$CC$17=$CC$17,$CD$14:$CD$15&gt;90,$CD$16:$CD$17&lt;90,$CE$14:$CE$17=$CE$17,$CF$14&gt;$CF$17,$CF$15:$CF$17=$CF$17),1,0)</f>
        <v>0</v>
      </c>
      <c r="DF17" s="11" t="n">
        <f aca="false" t="array" ref="DF17:DF17">IF(AND($CC$14:$CC$17=$CC$17,$CD$14:$CD$15&lt;90,$CD$16:$CD$17&gt;90,$CE$14:$CE$17=$CE$17,$CF$14:$CF$16=$CF$16,$CF$14:$CF$16&gt;$CF$17),1,0)</f>
        <v>0</v>
      </c>
      <c r="DG17" s="11" t="n">
        <f aca="false" t="array" ref="DG17:DG17">IF(AND($CC$14:$CC$17=$CC$17,$CD$14&gt;90,$CD$17&gt;90,$CD$15:$CD$16&lt;90,$CE$14:$CE$17=$CE$17,$CF$14&gt;$CF$15:$CF$17,$CF$15:$CF$17=$CF$17),1,0)</f>
        <v>0</v>
      </c>
      <c r="FI17" s="73"/>
      <c r="FK17" s="73"/>
      <c r="FM17" s="73"/>
    </row>
    <row r="18" s="11" customFormat="true" ht="15" hidden="false" customHeight="false" outlineLevel="0" collapsed="false">
      <c r="A18" s="12"/>
      <c r="B18" s="33"/>
      <c r="C18" s="12"/>
      <c r="D18" s="35"/>
      <c r="E18" s="14"/>
      <c r="F18" s="140"/>
      <c r="G18" s="91"/>
      <c r="H18" s="14"/>
      <c r="I18" s="14"/>
      <c r="J18" s="14"/>
      <c r="K18" s="14"/>
      <c r="L18" s="14"/>
      <c r="M18" s="14"/>
      <c r="N18" s="14"/>
      <c r="O18" s="141"/>
      <c r="P18" s="15"/>
      <c r="Q18" s="15"/>
      <c r="R18" s="15"/>
      <c r="S18" s="15"/>
      <c r="T18" s="15"/>
      <c r="U18" s="15"/>
      <c r="V18" s="15"/>
      <c r="W18" s="15"/>
      <c r="X18" s="15"/>
      <c r="Y18" s="15"/>
      <c r="Z18" s="15"/>
      <c r="AA18" s="142"/>
      <c r="AB18" s="15"/>
      <c r="AC18" s="143"/>
      <c r="AD18" s="70"/>
      <c r="AE18" s="71"/>
      <c r="AF18" s="24"/>
      <c r="AI18" s="10"/>
      <c r="AW18" s="31"/>
      <c r="AY18" s="72"/>
      <c r="BB18" s="73"/>
      <c r="BC18" s="73"/>
      <c r="BD18" s="73"/>
      <c r="BE18" s="73"/>
      <c r="BF18" s="73"/>
      <c r="BG18" s="73"/>
      <c r="BH18" s="73"/>
      <c r="BI18" s="73"/>
      <c r="BJ18" s="73"/>
      <c r="BK18" s="73"/>
      <c r="BL18" s="73"/>
      <c r="BM18" s="73"/>
      <c r="BN18" s="73"/>
      <c r="BO18" s="73"/>
      <c r="BP18" s="73"/>
      <c r="BQ18" s="73"/>
      <c r="BR18" s="73"/>
      <c r="BS18" s="73"/>
      <c r="BT18" s="10"/>
      <c r="BU18" s="10"/>
      <c r="BV18" s="10"/>
      <c r="BW18" s="10"/>
      <c r="BX18" s="10"/>
      <c r="BY18" s="10"/>
      <c r="BZ18" s="10"/>
      <c r="CA18" s="10"/>
      <c r="CB18" s="10"/>
      <c r="CC18" s="10"/>
      <c r="CD18" s="74"/>
      <c r="CE18" s="10"/>
      <c r="CF18" s="10"/>
      <c r="CG18" s="10"/>
      <c r="CH18" s="10"/>
      <c r="FI18" s="73"/>
      <c r="FK18" s="73"/>
      <c r="FM18" s="73"/>
    </row>
    <row r="19" s="11" customFormat="true" ht="15.75" hidden="false" customHeight="false" outlineLevel="0" collapsed="false">
      <c r="A19" s="12"/>
      <c r="B19" s="33"/>
      <c r="C19" s="12"/>
      <c r="D19" s="15"/>
      <c r="E19" s="25"/>
      <c r="F19" s="26" t="str">
        <f aca="false">F3</f>
        <v>Fecha</v>
      </c>
      <c r="G19" s="26" t="str">
        <f aca="false">G3</f>
        <v>Hora</v>
      </c>
      <c r="H19" s="27" t="str">
        <f aca="false">H3</f>
        <v>Jor.</v>
      </c>
      <c r="I19" s="28" t="str">
        <f aca="false">I3</f>
        <v>Casa</v>
      </c>
      <c r="J19" s="26"/>
      <c r="K19" s="29" t="str">
        <f aca="false">K3</f>
        <v>Gol</v>
      </c>
      <c r="L19" s="29" t="str">
        <f aca="false">L3</f>
        <v>Gol</v>
      </c>
      <c r="M19" s="29"/>
      <c r="N19" s="30" t="str">
        <f aca="false">N3</f>
        <v>Fuera</v>
      </c>
      <c r="O19" s="144"/>
      <c r="P19" s="21"/>
      <c r="Q19" s="21"/>
      <c r="R19" s="21"/>
      <c r="S19" s="21"/>
      <c r="T19" s="21"/>
      <c r="U19" s="21"/>
      <c r="V19" s="21"/>
      <c r="W19" s="21"/>
      <c r="X19" s="21"/>
      <c r="Y19" s="21"/>
      <c r="Z19" s="21"/>
      <c r="AA19" s="101"/>
      <c r="AB19" s="22"/>
      <c r="AC19" s="22"/>
      <c r="AD19" s="22"/>
      <c r="AE19" s="23"/>
      <c r="AF19" s="24"/>
      <c r="AW19" s="31"/>
      <c r="CH19" s="10"/>
      <c r="CL19" s="24" t="n">
        <v>1</v>
      </c>
      <c r="CM19" s="24" t="n">
        <v>12</v>
      </c>
      <c r="CN19" s="24" t="n">
        <v>18</v>
      </c>
      <c r="CO19" s="24" t="n">
        <v>19</v>
      </c>
      <c r="CP19" s="24" t="n">
        <v>13</v>
      </c>
      <c r="CQ19" s="24" t="n">
        <v>20</v>
      </c>
      <c r="CR19" s="24" t="n">
        <v>21</v>
      </c>
      <c r="CS19" s="24" t="n">
        <v>22</v>
      </c>
      <c r="CT19" s="24" t="n">
        <v>3</v>
      </c>
      <c r="CU19" s="24" t="n">
        <v>2</v>
      </c>
      <c r="CV19" s="24" t="n">
        <v>14</v>
      </c>
      <c r="CW19" s="24" t="n">
        <v>17</v>
      </c>
      <c r="CX19" s="24" t="n">
        <v>16</v>
      </c>
      <c r="CY19" s="24" t="n">
        <v>15</v>
      </c>
      <c r="CZ19" s="24" t="n">
        <v>4</v>
      </c>
      <c r="DA19" s="24" t="n">
        <v>5</v>
      </c>
      <c r="DB19" s="24" t="n">
        <v>10</v>
      </c>
      <c r="DC19" s="24" t="n">
        <v>8</v>
      </c>
      <c r="DD19" s="24" t="n">
        <v>6</v>
      </c>
      <c r="DE19" s="24" t="n">
        <v>11</v>
      </c>
      <c r="DF19" s="24" t="n">
        <v>7</v>
      </c>
      <c r="DG19" s="24" t="n">
        <v>9</v>
      </c>
      <c r="DH19" s="24"/>
      <c r="DI19" s="24"/>
      <c r="EC19" s="10" t="s">
        <v>19</v>
      </c>
      <c r="ED19" s="10" t="s">
        <v>20</v>
      </c>
      <c r="EE19" s="10" t="s">
        <v>21</v>
      </c>
      <c r="EF19" s="10" t="s">
        <v>22</v>
      </c>
      <c r="EG19" s="10" t="s">
        <v>23</v>
      </c>
      <c r="EH19" s="10" t="s">
        <v>24</v>
      </c>
      <c r="EI19" s="10" t="s">
        <v>25</v>
      </c>
      <c r="EJ19" s="10" t="s">
        <v>26</v>
      </c>
      <c r="EK19" s="10" t="s">
        <v>27</v>
      </c>
      <c r="EL19" s="10" t="s">
        <v>28</v>
      </c>
    </row>
    <row r="20" s="11" customFormat="true" ht="15" hidden="false" customHeight="true" outlineLevel="0" collapsed="false">
      <c r="A20" s="32" t="s">
        <v>29</v>
      </c>
      <c r="B20" s="33" t="s">
        <v>83</v>
      </c>
      <c r="C20" s="34" t="n">
        <f aca="false">COUNTIF(Equipos!$C$2:$C$33,MUNDIAL!B20)</f>
        <v>4</v>
      </c>
      <c r="D20" s="35"/>
      <c r="E20" s="145" t="s">
        <v>83</v>
      </c>
      <c r="F20" s="146" t="n">
        <f aca="false">Horarios!C20</f>
        <v>44887.5416666667</v>
      </c>
      <c r="G20" s="147" t="n">
        <f aca="false">Horarios!C20</f>
        <v>44887.5416666667</v>
      </c>
      <c r="H20" s="146" t="s">
        <v>31</v>
      </c>
      <c r="I20" s="148" t="str">
        <f aca="false">A21</f>
        <v>Argentina</v>
      </c>
      <c r="J20" s="149" t="str">
        <f aca="false">VLOOKUP(I20,Equipos!$H$2:$I$33,2,0)</f>
        <v>🇦🇷</v>
      </c>
      <c r="K20" s="150" t="n">
        <v>1</v>
      </c>
      <c r="L20" s="150" t="n">
        <v>2</v>
      </c>
      <c r="M20" s="151" t="str">
        <f aca="false">VLOOKUP(N20,Equipos!$H$2:$I$33,2,0)</f>
        <v>🇸🇦</v>
      </c>
      <c r="N20" s="152" t="str">
        <f aca="false">A22</f>
        <v>Arabia Saudita</v>
      </c>
      <c r="O20" s="44" t="n">
        <f aca="false">IF(NOT(OR(ISBLANK(K20),ISBLANK(L20))),1,0)</f>
        <v>1</v>
      </c>
      <c r="P20" s="45"/>
      <c r="Q20" s="153" t="str">
        <f aca="false">CONCATENATE("Grupo"," ",B20)</f>
        <v>Grupo C</v>
      </c>
      <c r="R20" s="153"/>
      <c r="S20" s="153"/>
      <c r="T20" s="153"/>
      <c r="U20" s="153"/>
      <c r="V20" s="153"/>
      <c r="W20" s="153"/>
      <c r="X20" s="153"/>
      <c r="Y20" s="153"/>
      <c r="Z20" s="153"/>
      <c r="AA20" s="111"/>
      <c r="AB20" s="48" t="s">
        <v>32</v>
      </c>
      <c r="AC20" s="48"/>
      <c r="AD20" s="48"/>
      <c r="AE20" s="23"/>
      <c r="AF20" s="24"/>
      <c r="AH20" s="11" t="str">
        <f aca="false">CONCATENATE("Auxiliar - ",Q20)</f>
        <v>Auxiliar - Grupo C</v>
      </c>
      <c r="AU20" s="11" t="s">
        <v>33</v>
      </c>
      <c r="AW20" s="31"/>
      <c r="AY20" s="24" t="str">
        <f aca="false">CONCATENATE(Q20," - GOLAVERAGE")</f>
        <v>Grupo C - GOLAVERAGE</v>
      </c>
      <c r="BB20" s="11" t="s">
        <v>35</v>
      </c>
      <c r="BH20" s="11" t="s">
        <v>36</v>
      </c>
      <c r="BN20" s="11" t="s">
        <v>37</v>
      </c>
      <c r="BO20" s="73"/>
      <c r="BP20" s="73"/>
      <c r="BQ20" s="73"/>
      <c r="BR20" s="73"/>
      <c r="BS20" s="73"/>
      <c r="BT20" s="10"/>
      <c r="BU20" s="10"/>
      <c r="BV20" s="10"/>
      <c r="BW20" s="10"/>
      <c r="BX20" s="10"/>
      <c r="BY20" s="10"/>
      <c r="BZ20" s="10"/>
      <c r="CA20" s="10"/>
      <c r="CB20" s="10"/>
      <c r="CC20" s="10"/>
      <c r="CD20" s="10"/>
      <c r="CE20" s="10"/>
      <c r="CF20" s="10"/>
      <c r="CG20" s="10"/>
      <c r="CH20" s="10"/>
      <c r="CI20" s="11" t="s">
        <v>38</v>
      </c>
      <c r="CK20" s="11" t="s">
        <v>39</v>
      </c>
      <c r="CL20" s="11" t="n">
        <f aca="false">SUM(CL22:CL25)</f>
        <v>0</v>
      </c>
      <c r="CM20" s="11" t="n">
        <f aca="false">SUM(CM22:CM25)</f>
        <v>0</v>
      </c>
      <c r="CN20" s="11" t="n">
        <f aca="false">SUM(CN22:CN25)</f>
        <v>0</v>
      </c>
      <c r="CO20" s="11" t="n">
        <f aca="false">SUM(CO22:CO25)</f>
        <v>1</v>
      </c>
      <c r="CP20" s="11" t="n">
        <f aca="false">SUM(CP22:CP25)</f>
        <v>0</v>
      </c>
      <c r="CQ20" s="11" t="n">
        <f aca="false">SUM(CQ22:CQ25)</f>
        <v>2</v>
      </c>
      <c r="CR20" s="11" t="n">
        <f aca="false">SUM(CR22:CR25)</f>
        <v>1</v>
      </c>
      <c r="CS20" s="11" t="n">
        <f aca="false">SUM(CS22:CS25)</f>
        <v>2</v>
      </c>
      <c r="CT20" s="11" t="n">
        <f aca="false">SUM(CT22:CT25)</f>
        <v>0</v>
      </c>
      <c r="CU20" s="11" t="n">
        <f aca="false">SUM(CU22:CU25)</f>
        <v>0</v>
      </c>
      <c r="CV20" s="11" t="n">
        <f aca="false">SUM(CV22:CV25)</f>
        <v>0</v>
      </c>
      <c r="CW20" s="11" t="n">
        <f aca="false">SUM(CW22:CW25)</f>
        <v>1</v>
      </c>
      <c r="CX20" s="11" t="n">
        <f aca="false">SUM(CX22:CX25)</f>
        <v>1</v>
      </c>
      <c r="CY20" s="11" t="n">
        <f aca="false">SUM(CY22:CY25)</f>
        <v>1</v>
      </c>
      <c r="CZ20" s="11" t="n">
        <f aca="false">SUM(CZ22:CZ25)</f>
        <v>0</v>
      </c>
      <c r="DA20" s="11" t="n">
        <f aca="false">SUM(DA22:DA25)</f>
        <v>0</v>
      </c>
      <c r="DB20" s="11" t="n">
        <f aca="false">SUM(DB22:DB25)</f>
        <v>0</v>
      </c>
      <c r="DC20" s="11" t="n">
        <f aca="false">SUM(DC22:DC25)</f>
        <v>0</v>
      </c>
      <c r="DD20" s="11" t="n">
        <f aca="false">SUM(DD22:DD25)</f>
        <v>0</v>
      </c>
      <c r="DE20" s="11" t="n">
        <f aca="false">SUM(DE22:DE25)</f>
        <v>0</v>
      </c>
      <c r="DF20" s="11" t="n">
        <f aca="false">SUM(DF22:DF25)</f>
        <v>0</v>
      </c>
      <c r="DG20" s="11" t="n">
        <f aca="false">SUM(DG22:DG25)</f>
        <v>0</v>
      </c>
      <c r="EC20" s="10" t="n">
        <v>1234</v>
      </c>
      <c r="ED20" s="10" t="n">
        <v>123</v>
      </c>
      <c r="EE20" s="10" t="n">
        <v>12</v>
      </c>
      <c r="EF20" s="10" t="n">
        <v>234</v>
      </c>
      <c r="EG20" s="10" t="n">
        <v>34</v>
      </c>
      <c r="EH20" s="10" t="n">
        <v>23</v>
      </c>
      <c r="EI20" s="10" t="n">
        <v>1</v>
      </c>
      <c r="EJ20" s="10" t="n">
        <v>2</v>
      </c>
      <c r="EK20" s="10" t="n">
        <v>3</v>
      </c>
      <c r="EL20" s="10" t="n">
        <v>4</v>
      </c>
      <c r="FM20" s="73"/>
    </row>
    <row r="21" s="11" customFormat="true" ht="15.75" hidden="false" customHeight="false" outlineLevel="0" collapsed="false">
      <c r="A21" s="32" t="str">
        <f aca="true" t="array" ref="A21:A21">IF(ROWS(A$21:A21)&lt;=$C$20,INDEX(INDIRECT(A$20),SMALL(IF(Nivell=$B$20,ROW(Nivell)-ROW(Equipos!$C$2)+1),ROWS(B$20:B20))),"")</f>
        <v>Argentina</v>
      </c>
      <c r="B21" s="33"/>
      <c r="C21" s="33"/>
      <c r="D21" s="35"/>
      <c r="E21" s="145"/>
      <c r="F21" s="154" t="n">
        <f aca="false">Horarios!C21</f>
        <v>44887.7916666667</v>
      </c>
      <c r="G21" s="155" t="n">
        <f aca="false">Horarios!C21</f>
        <v>44887.7916666667</v>
      </c>
      <c r="H21" s="154" t="s">
        <v>31</v>
      </c>
      <c r="I21" s="156" t="str">
        <f aca="false">A23</f>
        <v>México</v>
      </c>
      <c r="J21" s="157" t="str">
        <f aca="false">VLOOKUP(I21,Equipos!$H$2:$I$33,2,0)</f>
        <v>🇲🇽</v>
      </c>
      <c r="K21" s="158" t="n">
        <v>0</v>
      </c>
      <c r="L21" s="158" t="n">
        <v>0</v>
      </c>
      <c r="M21" s="159" t="str">
        <f aca="false">VLOOKUP(N21,Equipos!$H$2:$I$33,2,0)</f>
        <v>🇵🇱</v>
      </c>
      <c r="N21" s="160" t="str">
        <f aca="false">A24</f>
        <v>Polonia</v>
      </c>
      <c r="O21" s="44" t="n">
        <f aca="false">IF(NOT(OR(ISBLANK(K21),ISBLANK(L21))),1,0)</f>
        <v>1</v>
      </c>
      <c r="P21" s="45"/>
      <c r="Q21" s="161" t="s">
        <v>40</v>
      </c>
      <c r="R21" s="162" t="s">
        <v>41</v>
      </c>
      <c r="S21" s="163" t="s">
        <v>42</v>
      </c>
      <c r="T21" s="163" t="s">
        <v>43</v>
      </c>
      <c r="U21" s="163" t="s">
        <v>44</v>
      </c>
      <c r="V21" s="163" t="s">
        <v>45</v>
      </c>
      <c r="W21" s="163" t="s">
        <v>46</v>
      </c>
      <c r="X21" s="163" t="s">
        <v>47</v>
      </c>
      <c r="Y21" s="163" t="s">
        <v>48</v>
      </c>
      <c r="Z21" s="164" t="s">
        <v>49</v>
      </c>
      <c r="AA21" s="111" t="n">
        <f aca="false">COUNTIF(AA22:AA25,"&lt;100")</f>
        <v>0</v>
      </c>
      <c r="AB21" s="48"/>
      <c r="AC21" s="48"/>
      <c r="AD21" s="48"/>
      <c r="AE21" s="23"/>
      <c r="AF21" s="24"/>
      <c r="AG21" s="60" t="s">
        <v>33</v>
      </c>
      <c r="AH21" s="60" t="s">
        <v>50</v>
      </c>
      <c r="AI21" s="60" t="s">
        <v>51</v>
      </c>
      <c r="AJ21" s="60" t="s">
        <v>52</v>
      </c>
      <c r="AK21" s="60" t="s">
        <v>43</v>
      </c>
      <c r="AL21" s="60" t="s">
        <v>44</v>
      </c>
      <c r="AM21" s="60" t="s">
        <v>45</v>
      </c>
      <c r="AN21" s="60" t="s">
        <v>46</v>
      </c>
      <c r="AO21" s="60" t="s">
        <v>47</v>
      </c>
      <c r="AP21" s="60" t="s">
        <v>48</v>
      </c>
      <c r="AQ21" s="60" t="s">
        <v>53</v>
      </c>
      <c r="AR21" s="60" t="s">
        <v>54</v>
      </c>
      <c r="AS21" s="60" t="s">
        <v>50</v>
      </c>
      <c r="AW21" s="31"/>
      <c r="AY21" s="60" t="s">
        <v>51</v>
      </c>
      <c r="AZ21" s="60" t="s">
        <v>56</v>
      </c>
      <c r="BA21" s="60" t="s">
        <v>57</v>
      </c>
      <c r="BB21" s="60" t="s">
        <v>58</v>
      </c>
      <c r="BC21" s="60" t="s">
        <v>59</v>
      </c>
      <c r="BD21" s="60" t="str">
        <f aca="false">AY22</f>
        <v>Argentina</v>
      </c>
      <c r="BE21" s="60" t="str">
        <f aca="false">AY23</f>
        <v>Arabia Saudita</v>
      </c>
      <c r="BF21" s="60" t="str">
        <f aca="false">AY24</f>
        <v>México</v>
      </c>
      <c r="BG21" s="60" t="str">
        <f aca="false">AY25</f>
        <v>Polonia</v>
      </c>
      <c r="BH21" s="60" t="s">
        <v>58</v>
      </c>
      <c r="BI21" s="60" t="s">
        <v>59</v>
      </c>
      <c r="BJ21" s="60" t="str">
        <f aca="false">BD21</f>
        <v>Argentina</v>
      </c>
      <c r="BK21" s="60" t="str">
        <f aca="false">BE21</f>
        <v>Arabia Saudita</v>
      </c>
      <c r="BL21" s="60" t="str">
        <f aca="false">BF21</f>
        <v>México</v>
      </c>
      <c r="BM21" s="60" t="str">
        <f aca="false">BG21</f>
        <v>Polonia</v>
      </c>
      <c r="BN21" s="60" t="s">
        <v>58</v>
      </c>
      <c r="BO21" s="60" t="s">
        <v>59</v>
      </c>
      <c r="BP21" s="60" t="str">
        <f aca="false">BD21</f>
        <v>Argentina</v>
      </c>
      <c r="BQ21" s="60" t="str">
        <f aca="false">BE21</f>
        <v>Arabia Saudita</v>
      </c>
      <c r="BR21" s="60" t="str">
        <f aca="false">BF21</f>
        <v>México</v>
      </c>
      <c r="BS21" s="60" t="str">
        <f aca="false">BG21</f>
        <v>Polonia</v>
      </c>
      <c r="BT21" s="10"/>
      <c r="BU21" s="61"/>
      <c r="BV21" s="61" t="s">
        <v>60</v>
      </c>
      <c r="BW21" s="61"/>
      <c r="BX21" s="61" t="s">
        <v>62</v>
      </c>
      <c r="BY21" s="61"/>
      <c r="BZ21" s="10"/>
      <c r="CA21" s="61"/>
      <c r="CB21" s="61" t="s">
        <v>51</v>
      </c>
      <c r="CC21" s="61" t="s">
        <v>52</v>
      </c>
      <c r="CD21" s="61" t="s">
        <v>63</v>
      </c>
      <c r="CE21" s="61" t="s">
        <v>53</v>
      </c>
      <c r="CF21" s="61" t="s">
        <v>64</v>
      </c>
      <c r="CG21" s="61"/>
      <c r="CH21" s="10"/>
      <c r="CK21" s="11" t="s">
        <v>65</v>
      </c>
      <c r="CL21" s="11" t="s">
        <v>66</v>
      </c>
      <c r="CM21" s="11" t="s">
        <v>67</v>
      </c>
      <c r="CN21" s="11" t="s">
        <v>68</v>
      </c>
      <c r="CO21" s="11" t="s">
        <v>69</v>
      </c>
      <c r="CP21" s="11" t="s">
        <v>70</v>
      </c>
      <c r="CQ21" s="11" t="s">
        <v>71</v>
      </c>
      <c r="CR21" s="11" t="s">
        <v>72</v>
      </c>
      <c r="CS21" s="11" t="s">
        <v>73</v>
      </c>
      <c r="CT21" s="11" t="s">
        <v>68</v>
      </c>
      <c r="CU21" s="11" t="s">
        <v>68</v>
      </c>
      <c r="CV21" s="11" t="s">
        <v>69</v>
      </c>
      <c r="CW21" s="11" t="s">
        <v>72</v>
      </c>
      <c r="CX21" s="11" t="s">
        <v>71</v>
      </c>
      <c r="CY21" s="11" t="s">
        <v>71</v>
      </c>
      <c r="CZ21" s="11" t="s">
        <v>70</v>
      </c>
      <c r="DA21" s="11" t="s">
        <v>67</v>
      </c>
      <c r="DB21" s="11" t="s">
        <v>72</v>
      </c>
      <c r="DC21" s="11" t="s">
        <v>71</v>
      </c>
      <c r="DD21" s="11" t="s">
        <v>69</v>
      </c>
      <c r="DE21" s="11" t="s">
        <v>72</v>
      </c>
      <c r="DF21" s="11" t="s">
        <v>69</v>
      </c>
      <c r="DG21" s="11" t="s">
        <v>71</v>
      </c>
      <c r="EC21" s="10" t="n">
        <v>1</v>
      </c>
      <c r="ED21" s="10" t="n">
        <v>1</v>
      </c>
      <c r="EE21" s="10" t="n">
        <v>1</v>
      </c>
      <c r="EF21" s="10" t="n">
        <v>2</v>
      </c>
      <c r="EG21" s="10" t="n">
        <v>3</v>
      </c>
      <c r="EH21" s="10" t="n">
        <v>2</v>
      </c>
      <c r="EI21" s="10" t="n">
        <v>1</v>
      </c>
      <c r="EJ21" s="10" t="n">
        <v>2</v>
      </c>
      <c r="EK21" s="10" t="n">
        <v>3</v>
      </c>
      <c r="EL21" s="10" t="n">
        <v>4</v>
      </c>
      <c r="FI21" s="60"/>
      <c r="FK21" s="60"/>
      <c r="FM21" s="60"/>
    </row>
    <row r="22" s="11" customFormat="true" ht="15" hidden="false" customHeight="false" outlineLevel="0" collapsed="false">
      <c r="A22" s="32" t="str">
        <f aca="true" t="array" ref="A22:A22">IF(ROWS(A$21:A22)&lt;=$C$20,INDEX(INDIRECT(A$20),SMALL(IF(Nivell=$B$20,ROW(Nivell)-ROW(Equipos!$C$2)+1),ROWS(B$20:B21))),"")</f>
        <v>Arabia Saudita</v>
      </c>
      <c r="B22" s="33"/>
      <c r="C22" s="62"/>
      <c r="D22" s="35"/>
      <c r="E22" s="145"/>
      <c r="F22" s="154" t="n">
        <f aca="false">Horarios!C22</f>
        <v>44891.6666666667</v>
      </c>
      <c r="G22" s="155" t="n">
        <f aca="false">Horarios!C22</f>
        <v>44891.6666666667</v>
      </c>
      <c r="H22" s="154" t="s">
        <v>74</v>
      </c>
      <c r="I22" s="156" t="str">
        <f aca="false">A24</f>
        <v>Polonia</v>
      </c>
      <c r="J22" s="157" t="str">
        <f aca="false">VLOOKUP(I22,Equipos!$H$2:$I$33,2,0)</f>
        <v>🇵🇱</v>
      </c>
      <c r="K22" s="158" t="n">
        <v>2</v>
      </c>
      <c r="L22" s="158" t="n">
        <v>0</v>
      </c>
      <c r="M22" s="159" t="str">
        <f aca="false">VLOOKUP(N22,Equipos!$H$2:$I$33,2,0)</f>
        <v>🇸🇦</v>
      </c>
      <c r="N22" s="160" t="str">
        <f aca="false">A22</f>
        <v>Arabia Saudita</v>
      </c>
      <c r="O22" s="44" t="n">
        <f aca="false">IF(NOT(OR(ISBLANK(K22),ISBLANK(L22))),1,0)</f>
        <v>1</v>
      </c>
      <c r="P22" s="45"/>
      <c r="Q22" s="165" t="n">
        <v>1</v>
      </c>
      <c r="R22" s="166" t="str">
        <f aca="false">VLOOKUP(Q22,$AG$22:$AI$25,3,0)</f>
        <v>Argentina</v>
      </c>
      <c r="S22" s="167" t="n">
        <f aca="false">VLOOKUP(R22,$AI$22:$AR$25,2,0)</f>
        <v>6</v>
      </c>
      <c r="T22" s="167" t="n">
        <f aca="false">VLOOKUP($R22,$AI$22:$AR$25,3,0)</f>
        <v>3</v>
      </c>
      <c r="U22" s="167" t="n">
        <f aca="false">VLOOKUP($R22,$AI$22:$AR$25,4,0)</f>
        <v>2</v>
      </c>
      <c r="V22" s="167" t="n">
        <f aca="false">VLOOKUP($R22,$AI$22:$AR$25,5,0)</f>
        <v>0</v>
      </c>
      <c r="W22" s="167" t="n">
        <f aca="false">VLOOKUP($R22,$AI$22:$AR$25,6,0)</f>
        <v>1</v>
      </c>
      <c r="X22" s="167" t="n">
        <f aca="false">VLOOKUP($R22,$AI$22:$AR$25,7,0)</f>
        <v>5</v>
      </c>
      <c r="Y22" s="167" t="n">
        <f aca="false">VLOOKUP($R22,$AI$22:$AR$25,8,0)</f>
        <v>2</v>
      </c>
      <c r="Z22" s="168" t="n">
        <f aca="false">VLOOKUP($R22,$AI$22:$AR$25,9,0)</f>
        <v>3</v>
      </c>
      <c r="AA22" s="67" t="n">
        <f aca="false">IF(SUM($AK$22:$AK$25)=12,MIN(ABS(BY21-BY22),ABS(BY22-BY23)),100)</f>
        <v>2240000000.03</v>
      </c>
      <c r="AB22" s="68" t="str">
        <f aca="false">IF(AND(AA22&gt;=0,AA22&lt;90),VLOOKUP(Q22,$BU$22:$BV$25,2,0),"")</f>
        <v/>
      </c>
      <c r="AC22" s="69"/>
      <c r="AD22" s="70"/>
      <c r="AE22" s="71"/>
      <c r="AF22" s="24" t="n">
        <f aca="false">VLOOKUP($R22,$AI$22:$AR$25,10,0)</f>
        <v>6686210499.91</v>
      </c>
      <c r="AG22" s="11" t="n">
        <f aca="false">RANK(AU22,$AU$22:$AU$25)</f>
        <v>1</v>
      </c>
      <c r="AH22" s="11" t="n">
        <f aca="false">RANK(AR22,$AR$22:$AR$25)</f>
        <v>1</v>
      </c>
      <c r="AI22" s="10" t="str">
        <f aca="false">A21</f>
        <v>Argentina</v>
      </c>
      <c r="AJ22" s="11" t="n">
        <f aca="false">AL22*3+AM22*1+AN22*0</f>
        <v>6</v>
      </c>
      <c r="AK22" s="11" t="n">
        <f aca="false">COUNTIFS($I$4:$I$65,AI22,$K$4:$K$65,"&lt;&gt;",$L$4:$L$65,"&lt;&gt;")+COUNTIFS($N$4:$N$65,AI22,$L$4:$L$65,"&lt;&gt;",$K$4:$K$65,"&lt;&gt;")</f>
        <v>3</v>
      </c>
      <c r="AL22" s="11" t="n">
        <f aca="false" t="array" ref="AL22:AL22">SUM(($I$4:$I$65=AI22)*($K$4:$K$65&lt;&gt;"")*($L$4:$L$65&lt;&gt;"")*($K$4:$K$65&gt;$L$4:$L$65),($N$4:$N$65=AI22)*($K$4:$K$65&lt;&gt;"")*($L$4:$L$65&lt;&gt;"")*($K$4:$K$65&lt;$L$4:$L$65))</f>
        <v>2</v>
      </c>
      <c r="AM22" s="11" t="n">
        <f aca="false" t="array" ref="AM22:AM22">SUM(($I$4:$I$65=AI22)*($K$4:$K$65&lt;&gt;"")*($L$4:$L$65&lt;&gt;"")*($K$4:$K$65=$L$4:$L$65),($N$4:$N$65=AI22)*($K$4:$K$65&lt;&gt;"")*($L$4:$L$65&lt;&gt;"")*($K$4:$K$65=$L$4:$L$65))</f>
        <v>0</v>
      </c>
      <c r="AN22" s="11" t="n">
        <f aca="false" t="array" ref="AN22:AN22">SUM(($I$4:$I$65=AI22)*($L$4:$L$65&lt;&gt;"")*($K$4:$K$65&lt;&gt;"")*($K$4:$K$65&lt;$L$4:$L$65),($K$4:$K$65&lt;&gt;"")*($N$4:$N$65=AI22)*($L$4:$L$65&lt;&gt;"")*($K$4:$K$65&gt;$L$4:$L$65))</f>
        <v>1</v>
      </c>
      <c r="AO22" s="11" t="n">
        <f aca="false" t="array" ref="AO22:AO22">SUMIFS($K$4:$K$65,$I$4:$I$65,AI22,$K$4:$K$65,"&lt;&gt;",$L$4:$L$65,"&lt;&gt;")+SUMIFS($L$4:$L$65,$N$4:$N$65,AI22,$K$4:$K$65,"&lt;&gt;",$L$4:$L$65,"&lt;&gt;")</f>
        <v>5</v>
      </c>
      <c r="AP22" s="11" t="n">
        <f aca="false" t="array" ref="AP22:AP22">SUMIFS($K$4:$K$65,$N$4:$N$65,AI22,$K$4:$K$65,"&lt;&gt;",$L$4:$L$65,"&lt;&gt;")+SUMIFS($L$4:$L$65,$I$4:$I$65,AI22,$K$4:$K$65,"&lt;&gt;",$L$4:$L$65,"&lt;&gt;")</f>
        <v>2</v>
      </c>
      <c r="AQ22" s="11" t="n">
        <f aca="false">AO22-AP22</f>
        <v>3</v>
      </c>
      <c r="AR22" s="11" t="n">
        <f aca="false">IF(AK22=0,-($AW$11*VLOOKUP(AI22,Tabla3[[NombreEquipo]:[Rank]],3,0)),AJ22*$AW$4+AQ22*$AW$5+AO22*$AW$6+BA22-($AW$11*VLOOKUP(AI22,Tabla3[[NombreEquipo]:[Rank]],3,0)/100))</f>
        <v>6686210499.91</v>
      </c>
      <c r="AS22" s="11" t="n">
        <f aca="false">AH22</f>
        <v>1</v>
      </c>
      <c r="AU22" s="11" t="n">
        <f aca="false">IFERROR(AR22-VLOOKUP(AI22,$AB$22:$AC$25,2,0),AR22)</f>
        <v>6686210499.91</v>
      </c>
      <c r="AW22" s="31"/>
      <c r="AY22" s="72" t="str">
        <f aca="false">AI22</f>
        <v>Argentina</v>
      </c>
      <c r="AZ22" s="11" t="n">
        <f aca="false">COUNTIF(AJ22:AJ25,AJ22)</f>
        <v>1</v>
      </c>
      <c r="BA22" s="11" t="n">
        <f aca="false">(BB22*$AW$9)+(BH22*$AW$8)+(BN22*$AW$7)</f>
        <v>210500</v>
      </c>
      <c r="BB22" s="73" t="n">
        <f aca="false">RANK(BC22,BC22:BC25,1)</f>
        <v>1</v>
      </c>
      <c r="BC22" s="73" t="n">
        <f aca="false">SUM(IF(AND(AJ22=AJ23,AQ22=AQ23,AO22=AO23),BE22,0),IF(AND(AJ22=AJ24,AQ22=AQ24,AO22=AO24),BF22,0),IF(AND(AJ22=AJ25,AQ22=AQ25,AO22=AO25),BG22,0))</f>
        <v>0</v>
      </c>
      <c r="BD22" s="73" t="n">
        <v>0</v>
      </c>
      <c r="BE22" s="73" t="n">
        <f aca="false" t="array" ref="BE22:BE22">SUMIFS($K$20:$K$25,$I$20:$I$25,$AY22,$K$20:$K$25,"&lt;&gt;",$L$20:$L$25,"&lt;&gt;",$N$20:$N$25,BE21)+SUMIFS($L$20:$L$25,$I$20:$I$25,BE21,$K$20:$K$25,"&lt;&gt;",$L$20:$L$25,"&lt;&gt;",$N$20:$N$25,$AY22)</f>
        <v>1</v>
      </c>
      <c r="BF22" s="73" t="n">
        <f aca="false" t="array" ref="BF22:BF22">SUMIFS($K$20:$K$25,$I$20:$I$25,$AY22,$K$20:$K$25,"&lt;&gt;",$L$20:$L$25,"&lt;&gt;",$N$20:$N$25,BF21)+SUMIFS($L$20:$L$25,$I$20:$I$25,BF21,$K$20:$K$25,"&lt;&gt;",$L$20:$L$25,"&lt;&gt;",$N$20:$N$25,$AY22)</f>
        <v>2</v>
      </c>
      <c r="BG22" s="73" t="n">
        <f aca="false" t="array" ref="BG22:BG22">SUMIFS($K$20:$K$25,$I$20:$I$25,$AY22,$K$20:$K$25,"&lt;&gt;",$L$20:$L$25,"&lt;&gt;",$N$20:$N$25,BG21)+SUMIFS($L$20:$L$25,$I$20:$I$25,BG21,$K$20:$K$25,"&lt;&gt;",$L$20:$L$25,"&lt;&gt;",$N$20:$N$25,$AY22)</f>
        <v>2</v>
      </c>
      <c r="BH22" s="73" t="n">
        <f aca="false">RANK(BI22,BI22:BI25,1)</f>
        <v>1</v>
      </c>
      <c r="BI22" s="73" t="n">
        <f aca="false">SUM(IF(AND(AJ22=AJ23,AQ22=AQ23,AO22=AO23),BK22,0),IF(AND(AJ22=AJ24,AQ22=AQ24,AO22=AO24),BL22,0),IF(AND(AJ22=AJ25,AQ22=AQ25,AO22=AO25),BM22,0))</f>
        <v>0</v>
      </c>
      <c r="BJ22" s="73" t="n">
        <v>0</v>
      </c>
      <c r="BK22" s="73" t="n">
        <f aca="false">BE22-BD23</f>
        <v>-1</v>
      </c>
      <c r="BL22" s="73" t="n">
        <f aca="false">BF22-BD24</f>
        <v>2</v>
      </c>
      <c r="BM22" s="73" t="n">
        <f aca="false">BG22-BD25</f>
        <v>2</v>
      </c>
      <c r="BN22" s="73" t="n">
        <f aca="false">RANK(BO22,BO22:BO25,1)</f>
        <v>1</v>
      </c>
      <c r="BO22" s="73" t="n">
        <f aca="false">SUM(IF(AND(AJ22=AJ23,AQ22=AQ23,AO22=AO23),BQ22,0),IF(AND(AJ22=AJ24,AQ22=AQ24,AO22=AO24),BR22,0),IF(AND(AJ22=AJ25,AQ22=AQ25,AO22=AO25),BS22,0))</f>
        <v>0</v>
      </c>
      <c r="BP22" s="73" t="n">
        <v>0</v>
      </c>
      <c r="BQ22" s="73" t="n">
        <f aca="false" t="array" ref="BQ22:BQ22">SUM((I$4:I$49=AY22)*(N$4:N$49=BQ21)*(K$4:K$49&lt;&gt;"")*(L$4:L$49&lt;&gt;"")*(K$4:K$49&gt;L$4:L$49)*3,(N$4:N$49=AY22)*(I$4:I$49=BQ21)*(K$4:K$49&lt;&gt;"")*(L$4:L$49&lt;&gt;"")*(K$4:K$49=L$4:L$49)*1,(N$4:N$49=AY22)*(I$4:I$49=BQ21)*(K$4:K$49&lt;&gt;"")*(L$4:L$49&lt;&gt;"")*(K$4:K$49&lt;L$4:L$49)*3,(I$4:I$49=AY22)*(N$4:N$49=BQ21)*(K$4:K$49&lt;&gt;"")*(L$4:L$49&lt;&gt;"")*(K$4:K$49=L$4:L$49)*1)</f>
        <v>0</v>
      </c>
      <c r="BR22" s="73" t="n">
        <f aca="false" t="array" ref="BR22:BR22">SUM((I$4:I$49=AY22)*(N$4:N$49=BR21)*(K$4:K$49&lt;&gt;"")*(L$4:L$49&lt;&gt;"")*(K$4:K$49&gt;L$4:L$49)*3,(N$4:N$49=AY22)*(I$4:I$49=BR21)*(K$4:K$49&lt;&gt;"")*(L$4:L$49&lt;&gt;"")*(K$4:K$49=L$4:L$49)*1,(N$4:N$49=AY22)*(I$4:I$49=BR21)*(K$4:K$49&lt;&gt;"")*(L$4:L$49&lt;&gt;"")*(K$4:K$49&lt;L$4:L$49)*3,(I$4:I$49=AY22)*(N$4:N$49=BR21)*(K$4:K$49&lt;&gt;"")*(L$4:L$49&lt;&gt;"")*(K$4:K$49=L$4:L$49)*1)</f>
        <v>3</v>
      </c>
      <c r="BS22" s="73" t="n">
        <f aca="false" t="array" ref="BS22:BS22">SUM((I$4:I$49=AY22)*(N$4:N$49=BS21)*(K$4:K$49&lt;&gt;"")*(L$4:L$49&lt;&gt;"")*(K$4:K$49&gt;L$4:L$49)*3,(N$4:N$49=AY22)*(I$4:I$49=BS21)*(K$4:K$49&lt;&gt;"")*(L$4:L$49&lt;&gt;"")*(K$4:K$49=L$4:L$49)*1,(N$4:N$49=AY22)*(I$4:I$49=BS21)*(K$4:K$49&lt;&gt;"")*(L$4:L$49&lt;&gt;"")*(K$4:K$49&lt;L$4:L$49)*3,(I$4:I$49=AY22)*(N$4:N$49=BS21)*(K$4:K$49&lt;&gt;"")*(L$4:L$49&lt;&gt;"")*(K$4:K$49=L$4:L$49)*1)</f>
        <v>3</v>
      </c>
      <c r="BT22" s="10" t="n">
        <v>1</v>
      </c>
      <c r="BU22" s="10" t="n">
        <f aca="false">RANK(BW22,$BW$22:$BW$25)</f>
        <v>1</v>
      </c>
      <c r="BV22" s="10" t="str">
        <f aca="false">A21</f>
        <v>Argentina</v>
      </c>
      <c r="BW22" s="10" t="n">
        <f aca="false">IF(AK22=0,-($AW$11*VLOOKUP(AI22,Tabla3[[NombreEquipo]:[Rank]],3,0)),AJ22*$AW$4+BA22+AQ22*$AW$8+AO22*$AW$9+AL22*$AW$10-($AW$11*VLOOKUP(AI22,Tabla3[[NombreEquipo]:[Rank]],3,0)/100))</f>
        <v>6666243199.91</v>
      </c>
      <c r="BX22" s="10" t="str">
        <f aca="false">VLOOKUP(Q22,$AH$22:$AI$25,2,0)</f>
        <v>Argentina</v>
      </c>
      <c r="BY22" s="10" t="n">
        <f aca="false">VLOOKUP($BX22,$AI$22:$AR$25,10,0)</f>
        <v>6686210499.91</v>
      </c>
      <c r="BZ22" s="10"/>
      <c r="CA22" s="10" t="n">
        <v>1</v>
      </c>
      <c r="CB22" s="10" t="str">
        <f aca="false">VLOOKUP(CA22,$AH$22:$AI$25,2,0)</f>
        <v>Argentina</v>
      </c>
      <c r="CC22" s="10" t="n">
        <f aca="false">VLOOKUP(CB22,$AI$22:$AR$25,2,0)</f>
        <v>6</v>
      </c>
      <c r="CD22" s="74" t="n">
        <f aca="false">IF(SUM($AK$22:$AK$25)=12,MIN(ABS(BY21-BY22),ABS(BY22-BY23)),100)</f>
        <v>2240000000.03</v>
      </c>
      <c r="CE22" s="10" t="n">
        <f aca="false">VLOOKUP($CB22,$AI$22:$AR$25,9,0)</f>
        <v>3</v>
      </c>
      <c r="CF22" s="10" t="n">
        <f aca="false">VLOOKUP($CB22,$AI$22:$AR$25,7,0)</f>
        <v>5</v>
      </c>
      <c r="CG22" s="10"/>
      <c r="CH22" s="10" t="n">
        <f aca="false" t="array" ref="CH22:CH22">IF($CI$22=$CL$21,$EC$21:$EC$24,IF($CI$22=$CM$21,$ED$21:$ED$23,IF(OR($CI$22=$CN$21,$CI$22=$CO$21),$EE$21:$EE$22,$EI$21)))</f>
        <v>1</v>
      </c>
      <c r="CI22" s="11" t="str">
        <f aca="false">IFERROR(HLOOKUP(4,CL20:DI21,2,0),CS21)</f>
        <v>COM_8</v>
      </c>
      <c r="CK22" s="11" t="n">
        <v>1</v>
      </c>
      <c r="CL22" s="11" t="n">
        <f aca="false" t="array" ref="CL22:CL22">IF(AND($CC$22:$CC$25=$CC$22,$CD$22:$CD$25&lt;90,$AQ$22:$AQ$25=$AQ$22,$CF$22:$CF$25=$CF$22),1,0)</f>
        <v>0</v>
      </c>
      <c r="CM22" s="11" t="n">
        <f aca="false" t="array" ref="CM22:CM22">IF(AND($CC$22:$CC$24=$CC$22,$CD$22:$CD$24&lt;90,$CC$22&lt;&gt;$CC$25),1,0)</f>
        <v>0</v>
      </c>
      <c r="CN22" s="11" t="n">
        <f aca="false" t="array" ref="CN22:CN22">IF(AND($CC$22:$CC$23=$CC$22,$CD$22:$CD$23&lt;90,$CC$22&lt;&gt;$CC$24),1,0)</f>
        <v>0</v>
      </c>
      <c r="CO22" s="11" t="n">
        <f aca="false" t="array" ref="CO22:CO22">IF(AND($CC$22:$CC$23=$CC$22,$CD$22:$CD$23&lt;90,$CC$22&lt;&gt;$CC$24),1,0)</f>
        <v>0</v>
      </c>
      <c r="CP22" s="11" t="n">
        <f aca="false" t="array" ref="CP22:CP22">IF(AND($CC$23:$CC$25=$CC$23,$CD$23:$CD$25&lt;90,$CC$22&lt;&gt;$CC$23),1,0)</f>
        <v>0</v>
      </c>
      <c r="CQ22" s="11" t="n">
        <f aca="false" t="array" ref="CQ22:CQ22">IF(AND($CC$22&lt;&gt;$CC$23,$CC$22&lt;&gt;$CC$25),1,0)</f>
        <v>1</v>
      </c>
      <c r="CR22" s="11" t="n">
        <f aca="false" t="array" ref="CR22:CR22">IF(AND($CC$22&lt;&gt;$CC$23,$CC$22&lt;&gt;$CC$25),1,0)</f>
        <v>1</v>
      </c>
      <c r="CS22" s="11" t="n">
        <f aca="false" t="array" ref="CS22:CS22">IF(AND($CC$22&lt;&gt;$CC$23,$CC$22&lt;&gt;$CC$25),1,0)</f>
        <v>1</v>
      </c>
      <c r="CT22" s="11" t="n">
        <f aca="false" t="array" ref="CT22:CT22">IF(AND($CC$22:$CC$25=$CC$22,$CD$22:$CD$25&lt;90,$CE$22:$CE$23=$CE$22,$CE$22&lt;&gt;$CE$24),1,0)</f>
        <v>0</v>
      </c>
      <c r="CU22" s="11" t="n">
        <f aca="false" t="array" ref="CU22:CU22">IF(AND($CC$22:$CC$25=$CC$22,$CD$22:$CD$25&lt;90,$CE$22:$CE$25=$CE$22,$CF$22=$CF$23,$CF$22&lt;&gt;$CF$24),1,0)</f>
        <v>0</v>
      </c>
      <c r="CV22" s="11" t="n">
        <f aca="false" t="array" ref="CV22:CV22">IF(AND($CC$22:$CC$24=$CC$22,$CD$22:$CD$23&lt;90,$CD$24&gt;90),1,0)</f>
        <v>0</v>
      </c>
      <c r="CW22" s="11" t="n">
        <f aca="false" t="array" ref="CW22:CW22">IF(AND($CC$22&lt;&gt;$CC$23,$CC$22&lt;&gt;$CC$24),1,0)</f>
        <v>1</v>
      </c>
      <c r="CX22" s="11" t="n">
        <f aca="false" t="array" ref="CX22:CX22">IF(AND($CC$22&lt;&gt;$CC$23,$CC$22&lt;&gt;$CC$24),1,0)</f>
        <v>1</v>
      </c>
      <c r="CY22" s="11" t="n">
        <f aca="false" t="array" ref="CY22:CY22">IF(AND($CC$22&lt;&gt;$CC$25,$CC$22:$CC$24=$CC$22,$CD$22&gt;90,$CD$23:$CD$24&lt;90),1,0)</f>
        <v>0</v>
      </c>
      <c r="CZ22" s="11" t="n">
        <f aca="false" t="array" ref="CZ22:CZ22">IF(AND($CC$22:$CC$25=$CC$22,$CD$23:$CD$25&lt;90,$CD$22&lt;&gt;$CD$23),1,0)</f>
        <v>0</v>
      </c>
      <c r="DA22" s="11" t="n">
        <f aca="false" t="array" ref="DA22:DA22">IF(AND($CC$22:$CC$25=$CC$22,$CD$22:$CD$24&lt;90,$CD$22&lt;&gt;$CD$25),1,0)</f>
        <v>0</v>
      </c>
      <c r="DB22" s="11" t="n">
        <f aca="false" t="array" ref="DB22:DB22">IF(AND($CC$22:$CC$25=$CC$22,$CD$22:$CD$23&gt;90,$CD$24:$CD$25&lt;90,$CE$22:$CE$25=$CE$22,$CF$22&gt;$CF$23,$CF$22&gt;$CF$24,$CF$22&gt;$CF$25),1,0)</f>
        <v>0</v>
      </c>
      <c r="DC22" s="11" t="n">
        <f aca="false" t="array" ref="DC22:DC22">IF(AND($CC$22:$CC$25=$CC$22,$CD$22&gt;90,$CD$23:$CD$24&lt;90,$CD$25&gt;90,$CE$22:$CE$25=$CE$22,$CF$22&gt;$CF$23,$CF$22&gt;$CF$24,$CF$22&gt;$CF$25),1,0)</f>
        <v>0</v>
      </c>
      <c r="DD22" s="11" t="n">
        <f aca="false" t="array" ref="DD22:DD22">IF(AND($CC$22:$CC$25=$CC$22,$CD$22:$CD$23&lt;90,$CD$24:$CD$25&gt;90,$CE$22:$CE$25=$CE$22,$CF$22=$CF$23,$CF$22&gt;$CF$24,$CF$22&gt;$CF$25),1,0)</f>
        <v>0</v>
      </c>
      <c r="DE22" s="11" t="n">
        <f aca="false" t="array" ref="DE22:DE22">IF(AND($CC$22:$CC$25=$CC$22,$CD$22:$CD$23&gt;90,$CD$24:$CD$25&lt;90,$CE$22:$CE$25=$CE$22,$CF$22&gt;$CF$23,$CF$23:$CF$25=$CF$23),1,0)</f>
        <v>0</v>
      </c>
      <c r="DF22" s="11" t="n">
        <f aca="false" t="array" ref="DF22:DF22">IF(AND($CC$22:$CC$25=$CC$22,$CD$22:$CD$23&lt;90,$CD$24:$CD$25&gt;90,$CE$22:$CE$25=$CE$22,$CF$22:$CF$24=$CF$22,$CF$22&gt;$CF$25),1,0)</f>
        <v>0</v>
      </c>
      <c r="DG22" s="11" t="n">
        <f aca="false" t="array" ref="DG22:DG22">IF(AND($CC$22:$CC$25=$CC$22,$CD$22&gt;90,$CD$25&gt;90,$CD$23:$CD$24&lt;90,$CE$22:$CE$25=$CE$22,$CF$22&gt;$CF$23:$CF$25),1,0)</f>
        <v>0</v>
      </c>
      <c r="EC22" s="10" t="n">
        <v>2</v>
      </c>
      <c r="ED22" s="10" t="n">
        <v>2</v>
      </c>
      <c r="EE22" s="10" t="n">
        <v>2</v>
      </c>
      <c r="EF22" s="10" t="n">
        <v>3</v>
      </c>
      <c r="EG22" s="10" t="n">
        <v>4</v>
      </c>
      <c r="EH22" s="10" t="n">
        <v>3</v>
      </c>
      <c r="EI22" s="10"/>
      <c r="EJ22" s="10"/>
      <c r="EK22" s="10"/>
      <c r="EL22" s="10"/>
      <c r="FI22" s="73"/>
      <c r="FK22" s="73"/>
      <c r="FM22" s="73"/>
    </row>
    <row r="23" s="11" customFormat="true" ht="15" hidden="false" customHeight="false" outlineLevel="0" collapsed="false">
      <c r="A23" s="32" t="str">
        <f aca="true" t="array" ref="A23:A23">IF(ROWS(A$21:A23)&lt;=$C$20,INDEX(INDIRECT(A$20),SMALL(IF(Nivell=$B$20,ROW(Nivell)-ROW(Equipos!$C$2)+1),ROWS(B$20:B22))),"")</f>
        <v>México</v>
      </c>
      <c r="B23" s="33"/>
      <c r="C23" s="75"/>
      <c r="D23" s="35"/>
      <c r="E23" s="145"/>
      <c r="F23" s="154" t="n">
        <f aca="false">Horarios!C23</f>
        <v>44891.9166666667</v>
      </c>
      <c r="G23" s="155" t="n">
        <f aca="false">Horarios!C23</f>
        <v>44891.9166666667</v>
      </c>
      <c r="H23" s="154" t="s">
        <v>74</v>
      </c>
      <c r="I23" s="156" t="str">
        <f aca="false">A21</f>
        <v>Argentina</v>
      </c>
      <c r="J23" s="157" t="str">
        <f aca="false">VLOOKUP(I23,Equipos!$H$2:$I$33,2,0)</f>
        <v>🇦🇷</v>
      </c>
      <c r="K23" s="158" t="n">
        <v>2</v>
      </c>
      <c r="L23" s="158" t="n">
        <v>0</v>
      </c>
      <c r="M23" s="159" t="str">
        <f aca="false">VLOOKUP(N23,Equipos!$H$2:$I$33,2,0)</f>
        <v>🇲🇽</v>
      </c>
      <c r="N23" s="160" t="str">
        <f aca="false">A23</f>
        <v>México</v>
      </c>
      <c r="O23" s="44" t="n">
        <f aca="false">IF(NOT(OR(ISBLANK(K23),ISBLANK(L23))),1,0)</f>
        <v>1</v>
      </c>
      <c r="P23" s="45"/>
      <c r="Q23" s="169" t="n">
        <v>2</v>
      </c>
      <c r="R23" s="77" t="str">
        <f aca="false">VLOOKUP(Q23,$AG$22:$AI$25,3,0)</f>
        <v>Polonia</v>
      </c>
      <c r="S23" s="78" t="n">
        <f aca="false">VLOOKUP(R23,$AI$22:$AR$25,2,0)</f>
        <v>4</v>
      </c>
      <c r="T23" s="78" t="n">
        <f aca="false">VLOOKUP($R23,$AI$22:$AR$25,3,0)</f>
        <v>3</v>
      </c>
      <c r="U23" s="78" t="n">
        <f aca="false">VLOOKUP($R23,$AI$22:$AR$25,4,0)</f>
        <v>1</v>
      </c>
      <c r="V23" s="78" t="n">
        <f aca="false">VLOOKUP($R23,$AI$22:$AR$25,5,0)</f>
        <v>1</v>
      </c>
      <c r="W23" s="78" t="n">
        <f aca="false">VLOOKUP($R23,$AI$22:$AR$25,6,0)</f>
        <v>1</v>
      </c>
      <c r="X23" s="78" t="n">
        <f aca="false">VLOOKUP($R23,$AI$22:$AR$25,7,0)</f>
        <v>2</v>
      </c>
      <c r="Y23" s="78" t="n">
        <f aca="false">VLOOKUP($R23,$AI$22:$AR$25,8,0)</f>
        <v>2</v>
      </c>
      <c r="Z23" s="170" t="n">
        <f aca="false">VLOOKUP($R23,$AI$22:$AR$25,9,0)</f>
        <v>0</v>
      </c>
      <c r="AA23" s="67" t="n">
        <f aca="false">IF(SUM($AK$22:$AK$25)=12,MIN(ABS(BY22-BY23),ABS(BY23-BY24)),100)</f>
        <v>4999999.98999977</v>
      </c>
      <c r="AB23" s="68" t="str">
        <f aca="false">IF(AND(AA23&gt;=0,AA23&lt;90),VLOOKUP(Q23,$BU$22:$BV$25,2,0),"")</f>
        <v/>
      </c>
      <c r="AC23" s="69"/>
      <c r="AD23" s="70"/>
      <c r="AE23" s="71"/>
      <c r="AF23" s="24" t="n">
        <f aca="false">VLOOKUP($R23,$AI$22:$AR$25,10,0)</f>
        <v>4446210499.88</v>
      </c>
      <c r="AG23" s="11" t="n">
        <f aca="false">RANK(AU23,$AU$22:$AU$25)</f>
        <v>4</v>
      </c>
      <c r="AH23" s="11" t="n">
        <f aca="false">RANK(AR23,$AR$22:$AR$25)</f>
        <v>4</v>
      </c>
      <c r="AI23" s="10" t="str">
        <f aca="false">A22</f>
        <v>Arabia Saudita</v>
      </c>
      <c r="AJ23" s="11" t="n">
        <f aca="false">AL23*3+AM23*1+AN23*0</f>
        <v>3</v>
      </c>
      <c r="AK23" s="11" t="n">
        <f aca="false">COUNTIFS($I$4:$I$65,AI23,$K$4:$K$65,"&lt;&gt;",$L$4:$L$65,"&lt;&gt;")+COUNTIFS($N$4:$N$65,AI23,$L$4:$L$65,"&lt;&gt;",$K$4:$K$65,"&lt;&gt;")</f>
        <v>3</v>
      </c>
      <c r="AL23" s="11" t="n">
        <f aca="false" t="array" ref="AL23:AL23">SUM(($I$4:$I$65=AI23)*($K$4:$K$65&lt;&gt;"")*($L$4:$L$65&lt;&gt;"")*($K$4:$K$65&gt;$L$4:$L$65),($N$4:$N$65=AI23)*($K$4:$K$65&lt;&gt;"")*($L$4:$L$65&lt;&gt;"")*($K$4:$K$65&lt;$L$4:$L$65))</f>
        <v>1</v>
      </c>
      <c r="AM23" s="11" t="n">
        <f aca="false" t="array" ref="AM23:AM23">SUM(($I$4:$I$65=AI23)*($K$4:$K$65&lt;&gt;"")*($L$4:$L$65&lt;&gt;"")*($K$4:$K$65=$L$4:$L$65),($N$4:$N$65=AI23)*($K$4:$K$65&lt;&gt;"")*($L$4:$L$65&lt;&gt;"")*($K$4:$K$65=$L$4:$L$65))</f>
        <v>0</v>
      </c>
      <c r="AN23" s="11" t="n">
        <f aca="false" t="array" ref="AN23:AN23">SUM(($I$4:$I$65=AI23)*($L$4:$L$65&lt;&gt;"")*($K$4:$K$65&lt;&gt;"")*($K$4:$K$65&lt;$L$4:$L$65),($K$4:$K$65&lt;&gt;"")*($N$4:$N$65=AI23)*($L$4:$L$65&lt;&gt;"")*($K$4:$K$65&gt;$L$4:$L$65))</f>
        <v>2</v>
      </c>
      <c r="AO23" s="11" t="n">
        <f aca="false" t="array" ref="AO23:AO23">SUMIFS($K$4:$K$65,$I$4:$I$65,AI23,$K$4:$K$65,"&lt;&gt;",$L$4:$L$65,"&lt;&gt;")+SUMIFS($L$4:$L$65,$N$4:$N$65,AI23,$K$4:$K$65,"&lt;&gt;",$L$4:$L$65,"&lt;&gt;")</f>
        <v>3</v>
      </c>
      <c r="AP23" s="11" t="n">
        <f aca="false" t="array" ref="AP23:AP23">SUMIFS($K$4:$K$65,$N$4:$N$65,AI23,$K$4:$K$65,"&lt;&gt;",$L$4:$L$65,"&lt;&gt;")+SUMIFS($L$4:$L$65,$I$4:$I$65,AI23,$K$4:$K$65,"&lt;&gt;",$L$4:$L$65,"&lt;&gt;")</f>
        <v>5</v>
      </c>
      <c r="AQ23" s="11" t="n">
        <f aca="false">AO23-AP23</f>
        <v>-2</v>
      </c>
      <c r="AR23" s="11" t="n">
        <f aca="false">IF(AK23=0,-($AW$11*VLOOKUP(AI23,Tabla3[[NombreEquipo]:[Rank]],3,0)),AJ23*$AW$4+AQ23*$AW$5+AO23*$AW$6+BA23-($AW$11*VLOOKUP(AI23,Tabla3[[NombreEquipo]:[Rank]],3,0)/100))</f>
        <v>3326210499.9</v>
      </c>
      <c r="AS23" s="11" t="n">
        <f aca="false">AH23</f>
        <v>4</v>
      </c>
      <c r="AU23" s="11" t="n">
        <f aca="false">IFERROR(AR23-VLOOKUP(AI23,$AB$22:$AC$25,2,0),AR23)</f>
        <v>3326210499.9</v>
      </c>
      <c r="AW23" s="31"/>
      <c r="AY23" s="72" t="str">
        <f aca="false">AI23</f>
        <v>Arabia Saudita</v>
      </c>
      <c r="AZ23" s="11" t="n">
        <f aca="false">COUNTIF(AJ22:AJ25,AJ23)</f>
        <v>1</v>
      </c>
      <c r="BA23" s="11" t="n">
        <f aca="false">(BB23*$AW$9)+(BH23*$AW$8)+(BN23*$AW$7)</f>
        <v>210500</v>
      </c>
      <c r="BB23" s="73" t="n">
        <f aca="false">RANK(BC23,BC22:BC25,1)</f>
        <v>1</v>
      </c>
      <c r="BC23" s="73" t="n">
        <f aca="false">SUM(IF(AND(AJ23=AJ24,AQ23=AQ24,AO23=AO24),BF23,0),IF(AND(AJ23=AJ25,AQ23=AQ25,AO23=AO25),BG23,0),IF(AND(AJ23=AJ22,AQ23=AQ22,AO23=AO22),BD23,0))</f>
        <v>0</v>
      </c>
      <c r="BD23" s="73" t="n">
        <f aca="false" t="array" ref="BD23:BD23">SUMIFS($K$20:$K$25,$I$20:$I$25,$AY23,$K$20:$K$25,"&lt;&gt;",$L$20:$L$25,"&lt;&gt;",$N$20:$N$25,BD21)+SUMIFS($L$20:$L$25,$I$20:$I$25,BD21,$K$20:$K$25,"&lt;&gt;",$L$20:$L$25,"&lt;&gt;",$N$20:$N$25,$AY23)</f>
        <v>2</v>
      </c>
      <c r="BE23" s="73" t="n">
        <v>0</v>
      </c>
      <c r="BF23" s="73" t="n">
        <f aca="false" t="array" ref="BF23:BF23">SUMIFS($K$20:$K$25,$I$20:$I$25,$AY23,$K$20:$K$25,"&lt;&gt;",$L$20:$L$25,"&lt;&gt;",$N$20:$N$25,BF21)+SUMIFS($L$20:$L$25,$I$20:$I$25,BF21,$K$20:$K$25,"&lt;&gt;",$L$20:$L$25,"&lt;&gt;",$N$20:$N$25,$AY23)</f>
        <v>1</v>
      </c>
      <c r="BG23" s="73" t="n">
        <f aca="false" t="array" ref="BG23:BG23">SUMIFS($K$20:$K$25,$I$20:$I$25,$AY23,$K$20:$K$25,"&lt;&gt;",$L$20:$L$25,"&lt;&gt;",$N$20:$N$25,BG21)+SUMIFS($L$20:$L$25,$I$20:$I$25,BG21,$K$20:$K$25,"&lt;&gt;",$L$20:$L$25,"&lt;&gt;",$N$20:$N$25,$AY23)</f>
        <v>0</v>
      </c>
      <c r="BH23" s="73" t="n">
        <f aca="false">RANK(BI23,BI22:BI25,1)</f>
        <v>1</v>
      </c>
      <c r="BI23" s="73" t="n">
        <f aca="false">SUM(IF(AND(AJ23=AJ24,AQ23=AQ24,AO23=AO24),BL23,0),IF(AND(AJ23=AJ25,AQ23=AQ25,AO23=AO25),BM23,0),IF(AND(AJ23=AJ22,AQ23=AQ22,AO23=AO22),BJ23,0))</f>
        <v>0</v>
      </c>
      <c r="BJ23" s="73" t="n">
        <f aca="false">BD23-BE22</f>
        <v>1</v>
      </c>
      <c r="BK23" s="73" t="n">
        <v>0</v>
      </c>
      <c r="BL23" s="73" t="n">
        <f aca="false">BF23-BE24</f>
        <v>-1</v>
      </c>
      <c r="BM23" s="73" t="n">
        <f aca="false">BG23-BE25</f>
        <v>-2</v>
      </c>
      <c r="BN23" s="73" t="n">
        <f aca="false">RANK(BO23,BO22:BO25,1)</f>
        <v>1</v>
      </c>
      <c r="BO23" s="73" t="n">
        <f aca="false">SUM(IF(AND(AJ23=AJ24,AQ23=AQ24,AO23=AO24),BR23,0),IF(AND(AJ23=AJ25,AQ23=AQ25,AO23=AO25),BS23,0),IF(AND(AJ23=AJ22,AQ23=AQ22,AO23=AO22),BP23,0))</f>
        <v>0</v>
      </c>
      <c r="BP23" s="73" t="n">
        <f aca="false" t="array" ref="BP23:BP23">SUM((I$4:I$49=AY23)*(N$4:N$49=BP21)*(K$4:K$49&lt;&gt;"")*(L$4:L$49&lt;&gt;"")*(K$4:K$49&gt;L$4:L$49)*3,(N$4:N$49=AY23)*(I$4:I$49=BP21)*(K$4:K$49&lt;&gt;"")*(L$4:L$49&lt;&gt;"")*(K$4:K$49=L$4:L$49)*1,(N$4:N$49=AY23)*(I$4:I$49=BP21)*(K$4:K$49&lt;&gt;"")*(L$4:L$49&lt;&gt;"")*(K$4:K$49&lt;L$4:L$49)*3,(I$4:I$49=AY23)*(N$4:N$49=BP21)*(K$4:K$49&lt;&gt;"")*(L$4:L$49&lt;&gt;"")*(K$4:K$49=L$4:L$49)*1)</f>
        <v>3</v>
      </c>
      <c r="BQ23" s="73" t="n">
        <v>0</v>
      </c>
      <c r="BR23" s="73" t="n">
        <f aca="false" t="array" ref="BR23:BR23">SUM((I$4:I$49=AY23)*(N$4:N$49=BR21)*(K$4:K$49&lt;&gt;"")*(L$4:L$49&lt;&gt;"")*(K$4:K$49&gt;L$4:L$49)*3,(N$4:N$49=AY23)*(I$4:I$49=BR21)*(K$4:K$49&lt;&gt;"")*(L$4:L$49&lt;&gt;"")*(K$4:K$49=L$4:L$49)*1,(N$4:N$49=AY23)*(I$4:I$49=BR21)*(K$4:K$49&lt;&gt;"")*(L$4:L$49&lt;&gt;"")*(K$4:K$49&lt;L$4:L$49)*3,(I$4:I$49=AY23)*(N$4:N$49=BR21)*(K$4:K$49&lt;&gt;"")*(L$4:L$49&lt;&gt;"")*(K$4:K$49=L$4:L$49)*1)</f>
        <v>0</v>
      </c>
      <c r="BS23" s="73" t="n">
        <f aca="false" t="array" ref="BS23:BS23">SUM((I$4:I$49=AY23)*(N$4:N$49=BS21)*(K$4:K$49&lt;&gt;"")*(L$4:L$49&lt;&gt;"")*(K$4:K$49&gt;L$4:L$49)*3,(N$4:N$49=AY23)*(I$4:I$49=BS21)*(K$4:K$49&lt;&gt;"")*(L$4:L$49&lt;&gt;"")*(K$4:K$49=L$4:L$49)*1,(N$4:N$49=AY23)*(I$4:I$49=BS21)*(K$4:K$49&lt;&gt;"")*(L$4:L$49&lt;&gt;"")*(K$4:K$49&lt;L$4:L$49)*3,(I$4:I$49=AY23)*(N$4:N$49=BS21)*(K$4:K$49&lt;&gt;"")*(L$4:L$49&lt;&gt;"")*(K$4:K$49=L$4:L$49)*1)</f>
        <v>0</v>
      </c>
      <c r="BT23" s="10" t="n">
        <v>2</v>
      </c>
      <c r="BU23" s="10" t="n">
        <f aca="false">RANK(BW23,$BW$22:$BW$25)</f>
        <v>4</v>
      </c>
      <c r="BV23" s="10" t="str">
        <f aca="false">A22</f>
        <v>Arabia Saudita</v>
      </c>
      <c r="BW23" s="10" t="n">
        <f aca="false">IF(AK23=0,-($AW$11*VLOOKUP(AI23,Tabla3[[NombreEquipo]:[Rank]],3,0)),AJ23*$AW$4+BA23+AQ23*$AW$8+AO23*$AW$9+AL23*$AW$10-($AW$11*VLOOKUP(AI23,Tabla3[[NombreEquipo]:[Rank]],3,0)/100))</f>
        <v>3333192099.9</v>
      </c>
      <c r="BX23" s="10" t="str">
        <f aca="false">VLOOKUP(Q23,$AH$22:$AI$25,2,0)</f>
        <v>Polonia</v>
      </c>
      <c r="BY23" s="10" t="n">
        <f aca="false">VLOOKUP($BX23,$AI$22:$AR$25,10,0)</f>
        <v>4446210499.88</v>
      </c>
      <c r="BZ23" s="10"/>
      <c r="CA23" s="10" t="n">
        <v>2</v>
      </c>
      <c r="CB23" s="10" t="str">
        <f aca="false">VLOOKUP(CA23,$AH$22:$AI$25,2,0)</f>
        <v>Polonia</v>
      </c>
      <c r="CC23" s="10" t="n">
        <f aca="false">VLOOKUP(CB23,$AI$22:$AR$25,2,0)</f>
        <v>4</v>
      </c>
      <c r="CD23" s="74" t="n">
        <f aca="false">IF(SUM($AK$22:$AK$25)=12,MIN(ABS(BY22-BY23),ABS(BY23-BY24)),100)</f>
        <v>4999999.98999977</v>
      </c>
      <c r="CE23" s="10" t="n">
        <f aca="false">VLOOKUP($CB23,$AI$22:$AR$25,9,0)</f>
        <v>0</v>
      </c>
      <c r="CF23" s="10" t="n">
        <f aca="false">VLOOKUP($CB23,$AI$22:$AR$25,7,0)</f>
        <v>2</v>
      </c>
      <c r="CG23" s="10"/>
      <c r="CH23" s="10" t="n">
        <f aca="false" t="array" ref="CH23:CH23">IF($CI$22=$CL$21,$EC$21:$EC$24,IF($CI$22=$CM$21,$ED$21:$ED$23,IF(OR($CI$22=$CN$21,$CI$22=$CO$21),$EE$21:$EE$22,IF($CI$22=$CP$21,$EF$21:$EF$23,(IF($CI$22=$CQ$21,$EH$21:$EH$22,$EJ$21))))))</f>
        <v>2</v>
      </c>
      <c r="CK23" s="11" t="n">
        <v>2</v>
      </c>
      <c r="CL23" s="11" t="n">
        <f aca="false" t="array" ref="CL23:CL23">IF(AND($CC$22:$CC$25=$CC$23,$CD$22:$CD$25&lt;90,$AQ$22:$AQ$25=$AQ$23,$CF$22:$CF$25=$CF$23),1,0)</f>
        <v>0</v>
      </c>
      <c r="CM23" s="11" t="n">
        <f aca="false" t="array" ref="CM23:CM23">IF(AND($CC$22:$CC$24=$CC$23,$CD$22:$CD$24&lt;90,$CC$23&lt;&gt;$CC$25),1,0)</f>
        <v>0</v>
      </c>
      <c r="CN23" s="11" t="n">
        <f aca="false" t="array" ref="CN23:CN23">IF(AND($CC$22:$CC$23=$CC$22,$CD$22:$CD$23&lt;90,$CC$22&lt;&gt;$CC$24),1,0)</f>
        <v>0</v>
      </c>
      <c r="CO23" s="11" t="n">
        <f aca="false" t="array" ref="CO23:CO23">IF(AND($CC$22:$CC$23=$CC$22,$CD$22:$CD$23&lt;90,$CC$22&lt;&gt;$CC$24),1,0)</f>
        <v>0</v>
      </c>
      <c r="CP23" s="11" t="n">
        <f aca="false" t="array" ref="CP23:CP23">IF(AND($CC$23:$CC$25=$CC$23,$CD$23:$CD$25&lt;90,$CC$22&lt;&gt;$CC$23),1,0)</f>
        <v>0</v>
      </c>
      <c r="CQ23" s="11" t="n">
        <f aca="false" t="array" ref="CQ23:CQ23">IF(AND($CC$23:$CC$24=$CC$23,$CD$23:$CD$24&lt;90,$CC$23&lt;&gt;$CC$22,$CC$23&lt;&gt;$CC$25),1,0)</f>
        <v>0</v>
      </c>
      <c r="CR23" s="11" t="n">
        <f aca="false" t="array" ref="CR23:CR23">IF(AND($CC$23&lt;&gt;$CC$22,$CC$23&lt;&gt;$CC$24),1,0)</f>
        <v>0</v>
      </c>
      <c r="CS23" s="11" t="n">
        <f aca="false" t="array" ref="CS23:CS23">IF(AND($CC$23&lt;&gt;$CC$22,$CC$23&lt;&gt;$CC$24),1,0)</f>
        <v>0</v>
      </c>
      <c r="CT23" s="11" t="n">
        <f aca="false" t="array" ref="CT23:CT23">IF(AND($CC$22:$CC$25=$CC$22,$CD$22:$CD$25&lt;90,$CE$22:$CE$23=$CE$22,$CE$23&lt;&gt;$CE$24),1,0)</f>
        <v>0</v>
      </c>
      <c r="CU23" s="11" t="n">
        <f aca="false" t="array" ref="CU23:CU23">IF(AND($CC$22:$CC$25=$CC$22,$CD$22:$CD$25&lt;90,$CE$22:$CE$25=$CE$22,$CF$22=$CF$23,$CF$23&lt;&gt;$CF$24),1,0)</f>
        <v>0</v>
      </c>
      <c r="CV23" s="11" t="n">
        <f aca="false" t="array" ref="CV23:CV23">IF(AND($CC$22:$CC$24=$CC$23,$CD$22:$CD$23&lt;90,$CD$24&gt;90),1,0)</f>
        <v>0</v>
      </c>
      <c r="CW23" s="11" t="n">
        <f aca="false" t="array" ref="CW23:CW23">IF(AND($CC$23&lt;&gt;$CC$22,$CC$23:$CC$25=$CC$23,$CD$23&gt;90,$CD$24:$CD$25&lt;90),1,0)</f>
        <v>0</v>
      </c>
      <c r="CX23" s="11" t="n">
        <f aca="false" t="array" ref="CX23:CX23">IF(AND($CC$23&lt;&gt;$CC$22,$CC$23:$CC$25=$CC$23,$CD$25&gt;90,$CD$23:$CD$24&lt;90),1,0)</f>
        <v>0</v>
      </c>
      <c r="CY23" s="11" t="n">
        <f aca="false" t="array" ref="CY23:CY23">IF(AND($CC$23&lt;&gt;$CC$25,$CC$22:$CC$24=$CC$23,$CD$22&gt;90,$CD$23:$CD$24&lt;90),1,0)</f>
        <v>0</v>
      </c>
      <c r="CZ23" s="11" t="n">
        <f aca="false" t="array" ref="CZ23:CZ23">IF(AND($CC$22:$CC$25=$CC$23,$CD$23:$CD$25&lt;90,$CD$22&lt;&gt;$CD$23),1,0)</f>
        <v>0</v>
      </c>
      <c r="DA23" s="11" t="n">
        <f aca="false" t="array" ref="DA23:DA23">IF(AND($CC$22:$CC$25=$CC$23,$CD$22:$CD$24&lt;90,$CD$23&lt;&gt;$CD$25),1,0)</f>
        <v>0</v>
      </c>
      <c r="DB23" s="11" t="n">
        <f aca="false" t="array" ref="DB23:DB23">IF(AND($CC$22:$CC$25=$CC$23,$CD$22:$CD$23&gt;90,$CD$24:$CD$25&lt;90,$CE$22:$CE$25=$CE$23,$CF$22&gt;$CF$23,$CF$23&gt;$CF$24,$CF$23&gt;$CF$25),1,0)</f>
        <v>0</v>
      </c>
      <c r="DC23" s="11" t="n">
        <f aca="false" t="array" ref="DC23:DC23">IF(AND($CC$22:$CC$25=$CC$23,$CD$22&gt;90,$CD$23:$CD$24&lt;90,$CD$25&gt;90,$CE$22:$CE$25=$CE$23,$CF$22&gt;$CF$23,$CF$23=$CF$24,$CF$23&gt;$CF$25),1,0)</f>
        <v>0</v>
      </c>
      <c r="DD23" s="11" t="n">
        <f aca="false" t="array" ref="DD23:DD23">IF(AND($CC$22:$CC$25=$CC$23,$CD$22:$CD$23&lt;90,$CD$24:$CD$25&gt;90,$CE$22:$CE$25=$CE$23,$CF$22=$CF$23,$CF$23&gt;$CF$24,$CF$23&gt;$CF$25),1,0)</f>
        <v>0</v>
      </c>
      <c r="DE23" s="11" t="n">
        <f aca="false" t="array" ref="DE23:DE23">IF(AND($CC$22:$CC$25=$CC$23,$CD$22:$CD$23&gt;90,$CD$24:$CD$25&lt;90,$CE$22:$CE$25=$CE$23,$CF$22&gt;$CF$23,$CF$23:$CF$25=$CF$23),1,0)</f>
        <v>0</v>
      </c>
      <c r="DF23" s="11" t="n">
        <f aca="false" t="array" ref="DF23:DF23">IF(AND($CC$22:$CC$25=$CC$23,$CD$22:$CD$23&lt;90,$CD$24:$CD$25&gt;90,$CE$22:$CE$25=$CE$23,$CF$22:$CF$24=$CF$23,$CF$23&gt;$CF$25),1,0)</f>
        <v>0</v>
      </c>
      <c r="DG23" s="11" t="n">
        <f aca="false" t="array" ref="DG23:DG23">IF(AND($CC$22:$CC$25=$CC$23,$CD$22&gt;90,$CD$25&gt;90,$CD$23:$CD$24&lt;90,$CE$22:$CE$25=$CE$23,$CF$22&gt;$CF$23:$CF$25,$CF$23:$CF$25=$CF$23),1,0)</f>
        <v>0</v>
      </c>
      <c r="EC23" s="10" t="n">
        <v>3</v>
      </c>
      <c r="ED23" s="10" t="n">
        <v>3</v>
      </c>
      <c r="EE23" s="10"/>
      <c r="EF23" s="10" t="n">
        <v>4</v>
      </c>
      <c r="EG23" s="10"/>
      <c r="EH23" s="10"/>
      <c r="EI23" s="10"/>
      <c r="EJ23" s="10"/>
      <c r="EK23" s="10"/>
      <c r="EL23" s="10"/>
      <c r="FI23" s="73"/>
      <c r="FK23" s="73"/>
      <c r="FM23" s="73"/>
    </row>
    <row r="24" s="11" customFormat="true" ht="15" hidden="false" customHeight="false" outlineLevel="0" collapsed="false">
      <c r="A24" s="32" t="str">
        <f aca="true" t="array" ref="A24:A24">IF(ROWS(A$21:A24)&lt;=$C$20,INDEX(INDIRECT(A$20),SMALL(IF(Nivell=$B$20,ROW(Nivell)-ROW(Equipos!$C$2)+1),ROWS(B$20:B23))),"")</f>
        <v>Polonia</v>
      </c>
      <c r="B24" s="33"/>
      <c r="C24" s="75"/>
      <c r="D24" s="35"/>
      <c r="E24" s="145"/>
      <c r="F24" s="154" t="n">
        <f aca="false">Horarios!C24</f>
        <v>44895.9166666667</v>
      </c>
      <c r="G24" s="155" t="n">
        <f aca="false">Horarios!C24</f>
        <v>44895.9166666667</v>
      </c>
      <c r="H24" s="154" t="s">
        <v>77</v>
      </c>
      <c r="I24" s="156" t="str">
        <f aca="false">A24</f>
        <v>Polonia</v>
      </c>
      <c r="J24" s="157" t="str">
        <f aca="false">VLOOKUP(I24,Equipos!$H$2:$I$33,2,0)</f>
        <v>🇵🇱</v>
      </c>
      <c r="K24" s="158" t="n">
        <v>0</v>
      </c>
      <c r="L24" s="158" t="n">
        <v>2</v>
      </c>
      <c r="M24" s="159" t="str">
        <f aca="false">VLOOKUP(N24,Equipos!$H$2:$I$33,2,0)</f>
        <v>🇦🇷</v>
      </c>
      <c r="N24" s="160" t="str">
        <f aca="false">A21</f>
        <v>Argentina</v>
      </c>
      <c r="O24" s="44" t="n">
        <f aca="false">IF(NOT(OR(ISBLANK(K24),ISBLANK(L24))),1,0)</f>
        <v>1</v>
      </c>
      <c r="P24" s="45"/>
      <c r="Q24" s="169" t="n">
        <v>3</v>
      </c>
      <c r="R24" s="77" t="str">
        <f aca="false">VLOOKUP(Q24,$AG$22:$AI$25,3,0)</f>
        <v>México</v>
      </c>
      <c r="S24" s="78" t="n">
        <f aca="false">VLOOKUP(R24,$AI$22:$AR$25,2,0)</f>
        <v>4</v>
      </c>
      <c r="T24" s="78" t="n">
        <f aca="false">VLOOKUP($R24,$AI$22:$AR$25,3,0)</f>
        <v>3</v>
      </c>
      <c r="U24" s="78" t="n">
        <f aca="false">VLOOKUP($R24,$AI$22:$AR$25,4,0)</f>
        <v>1</v>
      </c>
      <c r="V24" s="78" t="n">
        <f aca="false">VLOOKUP($R24,$AI$22:$AR$25,5,0)</f>
        <v>1</v>
      </c>
      <c r="W24" s="78" t="n">
        <f aca="false">VLOOKUP($R24,$AI$22:$AR$25,6,0)</f>
        <v>1</v>
      </c>
      <c r="X24" s="78" t="n">
        <f aca="false">VLOOKUP($R24,$AI$22:$AR$25,7,0)</f>
        <v>2</v>
      </c>
      <c r="Y24" s="78" t="n">
        <f aca="false">VLOOKUP($R24,$AI$22:$AR$25,8,0)</f>
        <v>3</v>
      </c>
      <c r="Z24" s="170" t="n">
        <f aca="false">VLOOKUP($R24,$AI$22:$AR$25,9,0)</f>
        <v>-1</v>
      </c>
      <c r="AA24" s="67" t="n">
        <f aca="false">IF(SUM($AK$22:$AK$25)=12,MIN(ABS(BY23-BY24),ABS(BY24-BY25)),100)</f>
        <v>4999999.98999977</v>
      </c>
      <c r="AB24" s="68" t="str">
        <f aca="false">IF(AND(AA24&gt;=0,AA24&lt;90),VLOOKUP(Q24,$BU$22:$BV$25,2,0),"")</f>
        <v/>
      </c>
      <c r="AC24" s="69"/>
      <c r="AD24" s="70"/>
      <c r="AE24" s="71"/>
      <c r="AF24" s="24" t="n">
        <f aca="false">VLOOKUP($R24,$AI$22:$AR$25,10,0)</f>
        <v>4441210499.89</v>
      </c>
      <c r="AG24" s="11" t="n">
        <f aca="false">RANK(AU24,$AU$22:$AU$25)</f>
        <v>3</v>
      </c>
      <c r="AH24" s="11" t="n">
        <f aca="false">RANK(AR24,$AR$22:$AR$25)</f>
        <v>3</v>
      </c>
      <c r="AI24" s="10" t="str">
        <f aca="false">A23</f>
        <v>México</v>
      </c>
      <c r="AJ24" s="11" t="n">
        <f aca="false">AL24*3+AM24*1+AN24*0</f>
        <v>4</v>
      </c>
      <c r="AK24" s="11" t="n">
        <f aca="false">COUNTIFS($I$4:$I$65,AI24,$K$4:$K$65,"&lt;&gt;",$L$4:$L$65,"&lt;&gt;")+COUNTIFS($N$4:$N$65,AI24,$L$4:$L$65,"&lt;&gt;",$K$4:$K$65,"&lt;&gt;")</f>
        <v>3</v>
      </c>
      <c r="AL24" s="11" t="n">
        <f aca="false" t="array" ref="AL24:AL24">SUM(($I$4:$I$65=AI24)*($K$4:$K$65&lt;&gt;"")*($L$4:$L$65&lt;&gt;"")*($K$4:$K$65&gt;$L$4:$L$65),($N$4:$N$65=AI24)*($K$4:$K$65&lt;&gt;"")*($L$4:$L$65&lt;&gt;"")*($K$4:$K$65&lt;$L$4:$L$65))</f>
        <v>1</v>
      </c>
      <c r="AM24" s="11" t="n">
        <f aca="false" t="array" ref="AM24:AM24">SUM(($I$4:$I$65=AI24)*($K$4:$K$65&lt;&gt;"")*($L$4:$L$65&lt;&gt;"")*($K$4:$K$65=$L$4:$L$65),($N$4:$N$65=AI24)*($K$4:$K$65&lt;&gt;"")*($L$4:$L$65&lt;&gt;"")*($K$4:$K$65=$L$4:$L$65))</f>
        <v>1</v>
      </c>
      <c r="AN24" s="11" t="n">
        <f aca="false" t="array" ref="AN24:AN24">SUM(($I$4:$I$65=AI24)*($L$4:$L$65&lt;&gt;"")*($K$4:$K$65&lt;&gt;"")*($K$4:$K$65&lt;$L$4:$L$65),($K$4:$K$65&lt;&gt;"")*($N$4:$N$65=AI24)*($L$4:$L$65&lt;&gt;"")*($K$4:$K$65&gt;$L$4:$L$65))</f>
        <v>1</v>
      </c>
      <c r="AO24" s="11" t="n">
        <f aca="false" t="array" ref="AO24:AO24">SUMIFS($K$4:$K$65,$I$4:$I$65,AI24,$K$4:$K$65,"&lt;&gt;",$L$4:$L$65,"&lt;&gt;")+SUMIFS($L$4:$L$65,$N$4:$N$65,AI24,$K$4:$K$65,"&lt;&gt;",$L$4:$L$65,"&lt;&gt;")</f>
        <v>2</v>
      </c>
      <c r="AP24" s="11" t="n">
        <f aca="false" t="array" ref="AP24:AP24">SUMIFS($K$4:$K$65,$N$4:$N$65,AI24,$K$4:$K$65,"&lt;&gt;",$L$4:$L$65,"&lt;&gt;")+SUMIFS($L$4:$L$65,$I$4:$I$65,AI24,$K$4:$K$65,"&lt;&gt;",$L$4:$L$65,"&lt;&gt;")</f>
        <v>3</v>
      </c>
      <c r="AQ24" s="11" t="n">
        <f aca="false">AO24-AP24</f>
        <v>-1</v>
      </c>
      <c r="AR24" s="11" t="n">
        <f aca="false">IF(AK24=0,-($AW$11*VLOOKUP(AI24,Tabla3[[NombreEquipo]:[Rank]],3,0)),AJ24*$AW$4+AQ24*$AW$5+AO24*$AW$6+BA24-($AW$11*VLOOKUP(AI24,Tabla3[[NombreEquipo]:[Rank]],3,0)/100))</f>
        <v>4441210499.89</v>
      </c>
      <c r="AS24" s="11" t="n">
        <f aca="false">AH24</f>
        <v>3</v>
      </c>
      <c r="AU24" s="11" t="n">
        <f aca="false">IFERROR(AR24-VLOOKUP(AI24,$AB$22:$AC$25,2,0),AR24)</f>
        <v>4441210499.89</v>
      </c>
      <c r="AW24" s="31"/>
      <c r="AY24" s="72" t="str">
        <f aca="false">AI24</f>
        <v>México</v>
      </c>
      <c r="AZ24" s="11" t="n">
        <f aca="false">COUNTIF(AJ22:AJ25,AJ24)</f>
        <v>2</v>
      </c>
      <c r="BA24" s="11" t="n">
        <f aca="false">(BB24*$AW$9)+(BH24*$AW$8)+(BN24*$AW$7)</f>
        <v>210500</v>
      </c>
      <c r="BB24" s="73" t="n">
        <f aca="false">RANK(BC24,BC22:BC25,1)</f>
        <v>1</v>
      </c>
      <c r="BC24" s="73" t="n">
        <f aca="false">SUM(IF(AND(AJ24=AJ25,AQ24=AQ25,AO24=AO25),BG24,0),IF(AND(AJ24=AJ22,AQ24=AQ22,AO24=AO22),BD24,0),IF(AND(AJ24=AJ23,AQ24=AQ23,AO24=AO23),BE24,0))</f>
        <v>0</v>
      </c>
      <c r="BD24" s="73" t="n">
        <f aca="false" t="array" ref="BD24:BD24">SUMIFS($K$20:$K$25,$I$20:$I$25,$AY24,$K$20:$K$25,"&lt;&gt;",$L$20:$L$25,"&lt;&gt;",$N$20:$N$25,BD21)+SUMIFS($L$20:$L$25,$I$20:$I$25,BD21,$K$20:$K$25,"&lt;&gt;",$L$20:$L$25,"&lt;&gt;",$N$20:$N$25,$AY24)</f>
        <v>0</v>
      </c>
      <c r="BE24" s="73" t="n">
        <f aca="false" t="array" ref="BE24:BE24">SUMIFS($K$20:$K$25,$I$20:$I$25,$AY24,$K$20:$K$25,"&lt;&gt;",$L$20:$L$25,"&lt;&gt;",$N$20:$N$25,BE21)+SUMIFS($L$20:$L$25,$I$20:$I$25,BE21,$K$20:$K$25,"&lt;&gt;",$L$20:$L$25,"&lt;&gt;",$N$20:$N$25,$AY24)</f>
        <v>2</v>
      </c>
      <c r="BF24" s="73" t="n">
        <v>0</v>
      </c>
      <c r="BG24" s="73" t="n">
        <f aca="false" t="array" ref="BG24:BG24">SUMIFS($K$20:$K$25,$I$20:$I$25,$AY24,$K$20:$K$25,"&lt;&gt;",$L$20:$L$25,"&lt;&gt;",$N$20:$N$25,BG21)+SUMIFS($L$20:$L$25,$I$20:$I$25,BG21,$K$20:$K$25,"&lt;&gt;",$L$20:$L$25,"&lt;&gt;",$N$20:$N$25,$AY24)</f>
        <v>0</v>
      </c>
      <c r="BH24" s="73" t="n">
        <f aca="false">RANK(BI24,BI22:BI25,1)</f>
        <v>1</v>
      </c>
      <c r="BI24" s="73" t="n">
        <f aca="false">SUM(IF(AND(AJ24=AJ25,AQ24=AQ25,AO24=AO25),BM24,0),IF(AND(AJ24=AJ22,AQ24=AQ22,AO24=AO22),BJ24,0),IF(AND(AJ24=AJ23,AQ24=AQ23,AO24=AO23),BK24,0))</f>
        <v>0</v>
      </c>
      <c r="BJ24" s="73" t="n">
        <f aca="false">BD24-BF22</f>
        <v>-2</v>
      </c>
      <c r="BK24" s="73" t="n">
        <f aca="false">BE24-BF23</f>
        <v>1</v>
      </c>
      <c r="BL24" s="73" t="n">
        <v>0</v>
      </c>
      <c r="BM24" s="73" t="n">
        <f aca="false">BG24-BF25</f>
        <v>0</v>
      </c>
      <c r="BN24" s="73" t="n">
        <f aca="false">RANK(BO24,BO22:BO25,1)</f>
        <v>1</v>
      </c>
      <c r="BO24" s="73" t="n">
        <f aca="false">SUM(IF(AND(AJ24=AJ25,AQ24=AQ25,AO24=AO25),BS24,0),IF(AND(AJ24=AJ22,AQ24=AQ22,AO24=AO22),BP24,0),IF(AND(AJ24=AJ23,AQ24=AQ23,AO24=AO23),BQ24,0))</f>
        <v>0</v>
      </c>
      <c r="BP24" s="73" t="n">
        <f aca="false" t="array" ref="BP24:BP24">SUM((I$4:I$49=AY24)*(N$4:N$49=BP21)*(K$4:K$49&lt;&gt;"")*(L$4:L$49&lt;&gt;"")*(K$4:K$49&gt;L$4:L$49)*3,(N$4:N$49=AY24)*(I$4:I$49=BP21)*(K$4:K$49&lt;&gt;"")*(L$4:L$49&lt;&gt;"")*(K$4:K$49=L$4:L$49)*1,(N$4:N$49=AY24)*(I$4:I$49=BP21)*(K$4:K$49&lt;&gt;"")*(L$4:L$49&lt;&gt;"")*(K$4:K$49&lt;L$4:L$49)*3,(I$4:I$49=AY24)*(N$4:N$49=BP21)*(K$4:K$49&lt;&gt;"")*(L$4:L$49&lt;&gt;"")*(K$4:K$49=L$4:L$49)*1)</f>
        <v>0</v>
      </c>
      <c r="BQ24" s="73" t="n">
        <f aca="false" t="array" ref="BQ24:BQ24">SUM((I$4:I$49=AY24)*(N$4:N$49=BQ21)*(K$4:K$49&lt;&gt;"")*(L$4:L$49&lt;&gt;"")*(K$4:K$49&gt;L$4:L$49)*3,(N$4:N$49=AY24)*(I$4:I$49=BQ21)*(K$4:K$49&lt;&gt;"")*(L$4:L$49&lt;&gt;"")*(K$4:K$49=L$4:L$49)*1,(N$4:N$49=AY24)*(I$4:I$49=BQ21)*(K$4:K$49&lt;&gt;"")*(L$4:L$49&lt;&gt;"")*(K$4:K$49&lt;L$4:L$49)*3,(I$4:I$49=AY24)*(N$4:N$49=BQ21)*(K$4:K$49&lt;&gt;"")*(L$4:L$49&lt;&gt;"")*(K$4:K$49=L$4:L$49)*1)</f>
        <v>3</v>
      </c>
      <c r="BR24" s="73" t="n">
        <v>0</v>
      </c>
      <c r="BS24" s="73" t="n">
        <f aca="false" t="array" ref="BS24:BS24">SUM((I$4:I$49=AY24)*(N$4:N$49=BS21)*(K$4:K$49&lt;&gt;"")*(L$4:L$49&lt;&gt;"")*(K$4:K$49&gt;L$4:L$49)*3,(N$4:N$49=AY24)*(I$4:I$49=BS21)*(K$4:K$49&lt;&gt;"")*(L$4:L$49&lt;&gt;"")*(K$4:K$49=L$4:L$49)*1,(N$4:N$49=AY24)*(I$4:I$49=BS21)*(K$4:K$49&lt;&gt;"")*(L$4:L$49&lt;&gt;"")*(K$4:K$49&lt;L$4:L$49)*3,(I$4:I$49=AY24)*(N$4:N$49=BS21)*(K$4:K$49&lt;&gt;"")*(L$4:L$49&lt;&gt;"")*(K$4:K$49=L$4:L$49)*1)</f>
        <v>1</v>
      </c>
      <c r="BT24" s="10" t="n">
        <v>3</v>
      </c>
      <c r="BU24" s="10" t="n">
        <f aca="false">RANK(BW24,$BW$22:$BW$25)</f>
        <v>3</v>
      </c>
      <c r="BV24" s="10" t="str">
        <f aca="false">A23</f>
        <v>México</v>
      </c>
      <c r="BW24" s="10" t="n">
        <f aca="false">IF(AK24=0,-($AW$11*VLOOKUP(AI24,Tabla3[[NombreEquipo]:[Rank]],3,0)),AJ24*$AW$4+BA24+AQ24*$AW$8+AO24*$AW$9+AL24*$AW$10-($AW$11*VLOOKUP(AI24,Tabla3[[NombreEquipo]:[Rank]],3,0)/100))</f>
        <v>4444201599.89</v>
      </c>
      <c r="BX24" s="10" t="str">
        <f aca="false">VLOOKUP(Q24,$AH$22:$AI$25,2,0)</f>
        <v>México</v>
      </c>
      <c r="BY24" s="10" t="n">
        <f aca="false">VLOOKUP($BX24,$AI$22:$AR$25,10,0)</f>
        <v>4441210499.89</v>
      </c>
      <c r="BZ24" s="10"/>
      <c r="CA24" s="10" t="n">
        <v>3</v>
      </c>
      <c r="CB24" s="10" t="str">
        <f aca="false">VLOOKUP(CA24,$AH$22:$AI$25,2,0)</f>
        <v>México</v>
      </c>
      <c r="CC24" s="10" t="n">
        <f aca="false">VLOOKUP(CB24,$AI$22:$AR$25,2,0)</f>
        <v>4</v>
      </c>
      <c r="CD24" s="74" t="n">
        <f aca="false">IF(SUM($AK$22:$AK$25)=12,MIN(ABS(BY23-BY24),ABS(BY24-BY25)),100)</f>
        <v>4999999.98999977</v>
      </c>
      <c r="CE24" s="10" t="n">
        <f aca="false">VLOOKUP($CB24,$AI$22:$AR$25,9,0)</f>
        <v>-1</v>
      </c>
      <c r="CF24" s="10" t="n">
        <f aca="false">VLOOKUP($CB24,$AI$22:$AR$25,7,0)</f>
        <v>2</v>
      </c>
      <c r="CG24" s="10"/>
      <c r="CH24" s="10" t="n">
        <f aca="false" t="array" ref="CH24:CH24">IF($CI$22=$CL$21,$EC$21:$EC$24,IF($CI$22=$CM$21,$ED$21:$ED$23,IF(OR($CI$22=$CN$21,$CI$22=$CR$21),$EG$21:$EG$22,IF($CI$22=$CP$21,$EF$21:$EF$23,(IF($CI$22=$CQ$21,$EH$21:$EH$22,$EK$21))))))</f>
        <v>3</v>
      </c>
      <c r="CK24" s="11" t="n">
        <v>3</v>
      </c>
      <c r="CL24" s="11" t="n">
        <f aca="false" t="array" ref="CL24:CL24">IF(AND($CC$22:$CC$25=$CC$24,$CD$22:$CD$25&lt;90,$AQ$22:$AQ$25=$AQ$24,$CF$22:$CF$25=$CF$24),1,0)</f>
        <v>0</v>
      </c>
      <c r="CM24" s="11" t="n">
        <f aca="false" t="array" ref="CM24:CM24">IF(AND($CC$22:$CC$24=$CC$24,$CD$22:$CD$24&lt;90,$CC$24&lt;&gt;$CC$25),1,0)</f>
        <v>0</v>
      </c>
      <c r="CN24" s="11" t="n">
        <f aca="false" t="array" ref="CN24:CN24">IF(AND($CC$24:$CC$25=$CC$24,$CD$24:$CD$25&lt;90,$CC$24&lt;&gt;$CC$23),1,0)</f>
        <v>0</v>
      </c>
      <c r="CO24" s="11" t="n">
        <f aca="false" t="array" ref="CO24:CO24">IF(OR(AND($CC$24&lt;&gt;$CC$23,$CC$24&lt;&gt;$CC$25),AND($CC$24&lt;&gt;$CC$23,$CC$24=$CC$25,$CD$24&gt;90,$CD$25&gt;90)),1,0)</f>
        <v>0</v>
      </c>
      <c r="CP24" s="11" t="n">
        <f aca="false" t="array" ref="CP24:CP24">IF(AND($CC$23:$CC$25=$CC$23,$CD$23:$CD$25&lt;90,$CC$22&lt;&gt;$CC$24),1,0)</f>
        <v>0</v>
      </c>
      <c r="CQ24" s="11" t="n">
        <f aca="false" t="array" ref="CQ24:CQ24">IF(AND($CC$23:$CC$24=$CC$24,$CD$23:$CD$24&lt;90,$CC$24&lt;&gt;$CC$22,$CC$24&lt;&gt;$CC$25),1,0)</f>
        <v>0</v>
      </c>
      <c r="CR24" s="11" t="n">
        <f aca="false" t="array" ref="CR24:CR24">IF(AND($CC$24:$CC$25=$CC$24,$CD$24:$CD$25&lt;90,$CC$24&lt;&gt;$CC$23),1,0)</f>
        <v>0</v>
      </c>
      <c r="CS24" s="11" t="n">
        <f aca="false" t="array" ref="CS24:CS24">IF(AND($CC$24&lt;&gt;$CC$23,$CC$24&lt;&gt;$CC$25),1,0)</f>
        <v>0</v>
      </c>
      <c r="CT24" s="11" t="n">
        <f aca="false" t="array" ref="CT24:CT24">IF(AND($CC$22:$CC$25=$CC$22,$CD$22:$CD$25&lt;90,$CE$24:$CE$25=$CE$24,$CE$23&lt;&gt;$CE$24),1,0)</f>
        <v>0</v>
      </c>
      <c r="CU24" s="11" t="n">
        <f aca="false" t="array" ref="CU24:CU24">IF(AND($CC$22:$CC$25=$CC$22,$CD$22:$CD$25&lt;90,$CE$22:$CE$25=$CE$22,$CF$24=$CF$25,$CF$23&lt;&gt;$CF$24),1,0)</f>
        <v>0</v>
      </c>
      <c r="CV24" s="11" t="n">
        <f aca="false" t="array" ref="CV24:CV24">IF(AND($CC$22:$CC$24=$CC$24,$CD$22:$CD$23&lt;90,$CD$24&gt;90),1,0)</f>
        <v>0</v>
      </c>
      <c r="CW24" s="11" t="n">
        <f aca="false" t="array" ref="CW24:CW24">IF(AND($CC$23&lt;&gt;$CC$22,$CC$23:$CC$25=$CC$24,$CD$23&gt;90,$CD$24:$CD$25&lt;90),1,0)</f>
        <v>0</v>
      </c>
      <c r="CX24" s="11" t="n">
        <f aca="false" t="array" ref="CX24:CX24">IF(AND($CC$23&lt;&gt;$CC$22,$CC$23:$CC$25=$CC$23,$CD$25&gt;90,$CD$23:$CD$24&lt;90),1,0)</f>
        <v>0</v>
      </c>
      <c r="CY24" s="11" t="n">
        <f aca="false" t="array" ref="CY24:CY24">IF(AND($CC$24&lt;&gt;$CC$25,$CC$22:$CC$24=$CC$24,$CD$22&gt;90,$CD$23:$CD$24&lt;90),1,0)</f>
        <v>0</v>
      </c>
      <c r="CZ24" s="11" t="n">
        <f aca="false" t="array" ref="CZ24:CZ24">IF(AND($CC$22:$CC$25=$CC$23,$CD$23:$CD$25&lt;90,$CD$22&lt;&gt;$CD$24),1,0)</f>
        <v>0</v>
      </c>
      <c r="DA24" s="11" t="n">
        <f aca="false" t="array" ref="DA24:DA24">IF(AND($CC$22:$CC$25=$CC$24,$CD$22:$CD$24&lt;90,$CD$24&lt;&gt;$CD$25),1,0)</f>
        <v>0</v>
      </c>
      <c r="DB24" s="11" t="n">
        <f aca="false" t="array" ref="DB24:DB24">IF(AND($CC$22:$CC$25=$CC$24,$CD$22:$CD$23&gt;90,$CD$24:$CD$25&lt;90,$CE$22:$CE$25=$CE$24,$CF$22&gt;$CF$23,$CF$23&gt;$CF$24,$CF$24=$CF$25),1,0)</f>
        <v>0</v>
      </c>
      <c r="DC24" s="11" t="n">
        <f aca="false" t="array" ref="DC24:DC24">IF(AND($CC$22:$CC$25=$CC$24,$CD$22&gt;90,$CD$23:$CD$24&lt;90,$CD$25&gt;90,$CE$22:$CE$25=$CE$24,$CF$22&gt;$CF$23,$CF$23=$CF$24,$CF$24&gt;$CF$25),1,0)</f>
        <v>0</v>
      </c>
      <c r="DD24" s="11" t="n">
        <f aca="false" t="array" ref="DD24:DD24">IF(AND($CC$22:$CC$25=$CC$24,$CD$22:$CD$23&lt;90,$CD$24:$CD$25&gt;90,$CE$22:$CE$25=$CE$24,$CF$22=$CF$23,$CF$23&gt;$CF$24,$CF$24&gt;$CF$25),1,0)</f>
        <v>0</v>
      </c>
      <c r="DE24" s="11" t="n">
        <f aca="false" t="array" ref="DE24:DE24">IF(AND($CC$22:$CC$25=$CC$24,$CD$22:$CD$23&gt;90,$CD$24:$CD$25&lt;90,$CE$22:$CE$25=$CE$23,$CF$22&gt;$CF$24,$CF$23:$CF$25=$CF$24),1,0)</f>
        <v>0</v>
      </c>
      <c r="DF24" s="11" t="n">
        <f aca="false" t="array" ref="DF24:DF24">IF(AND($CC$22:$CC$25=$CC$24,$CD$22:$CD$23&lt;90,$CD$24:$CD$25&gt;90,$CE$22:$CE$25=$CE$24,$CF$22:$CF$24=$CF$24,$CF$24&gt;$CF$25),1,0)</f>
        <v>0</v>
      </c>
      <c r="DG24" s="11" t="n">
        <f aca="false" t="array" ref="DG24:DG24">IF(AND($CC$22:$CC$25=$CC$24,$CD$22&gt;90,$CD$25&gt;90,$CD$23:$CD$24&lt;90,$CE$22:$CE$25=$CE$24,$CF$22&gt;$CF$23:$CF$25,$CF$23:$CF$25=$CF$24),1,0)</f>
        <v>0</v>
      </c>
      <c r="EC24" s="10" t="n">
        <v>4</v>
      </c>
      <c r="ED24" s="10"/>
      <c r="EE24" s="10"/>
      <c r="EF24" s="10"/>
      <c r="EG24" s="10"/>
      <c r="EH24" s="10"/>
      <c r="EI24" s="10"/>
      <c r="EJ24" s="10"/>
      <c r="EK24" s="10"/>
      <c r="EL24" s="10"/>
      <c r="FI24" s="73"/>
      <c r="FK24" s="73"/>
      <c r="FM24" s="73"/>
    </row>
    <row r="25" s="11" customFormat="true" ht="15.75" hidden="false" customHeight="false" outlineLevel="0" collapsed="false">
      <c r="A25" s="12"/>
      <c r="B25" s="12"/>
      <c r="C25" s="12"/>
      <c r="D25" s="35"/>
      <c r="E25" s="145"/>
      <c r="F25" s="171" t="n">
        <f aca="false">Horarios!C25</f>
        <v>44895.9166666667</v>
      </c>
      <c r="G25" s="172" t="n">
        <f aca="false">Horarios!C25</f>
        <v>44895.9166666667</v>
      </c>
      <c r="H25" s="171" t="s">
        <v>77</v>
      </c>
      <c r="I25" s="173" t="str">
        <f aca="false">A22</f>
        <v>Arabia Saudita</v>
      </c>
      <c r="J25" s="174" t="str">
        <f aca="false">VLOOKUP(I25,Equipos!$H$2:$I$33,2,0)</f>
        <v>🇸🇦</v>
      </c>
      <c r="K25" s="175" t="n">
        <v>1</v>
      </c>
      <c r="L25" s="175" t="n">
        <v>2</v>
      </c>
      <c r="M25" s="176" t="str">
        <f aca="false">VLOOKUP(N25,Equipos!$H$2:$I$33,2,0)</f>
        <v>🇲🇽</v>
      </c>
      <c r="N25" s="177" t="str">
        <f aca="false">A23</f>
        <v>México</v>
      </c>
      <c r="O25" s="44" t="n">
        <f aca="false">IF(NOT(OR(ISBLANK(K25),ISBLANK(L25))),1,0)</f>
        <v>1</v>
      </c>
      <c r="P25" s="45"/>
      <c r="Q25" s="178" t="n">
        <v>4</v>
      </c>
      <c r="R25" s="179" t="str">
        <f aca="false">VLOOKUP(Q25,$AG$22:$AI$25,3,0)</f>
        <v>Arabia Saudita</v>
      </c>
      <c r="S25" s="180" t="n">
        <f aca="false">VLOOKUP(R25,$AI$22:$AR$25,2,0)</f>
        <v>3</v>
      </c>
      <c r="T25" s="180" t="n">
        <f aca="false">VLOOKUP($R25,$AI$22:$AR$25,3,0)</f>
        <v>3</v>
      </c>
      <c r="U25" s="180" t="n">
        <f aca="false">VLOOKUP($R25,$AI$22:$AR$25,4,0)</f>
        <v>1</v>
      </c>
      <c r="V25" s="180" t="n">
        <f aca="false">VLOOKUP($R25,$AI$22:$AR$25,5,0)</f>
        <v>0</v>
      </c>
      <c r="W25" s="180" t="n">
        <f aca="false">VLOOKUP($R25,$AI$22:$AR$25,6,0)</f>
        <v>2</v>
      </c>
      <c r="X25" s="180" t="n">
        <f aca="false">VLOOKUP($R25,$AI$22:$AR$25,7,0)</f>
        <v>3</v>
      </c>
      <c r="Y25" s="180" t="n">
        <f aca="false">VLOOKUP($R25,$AI$22:$AR$25,8,0)</f>
        <v>5</v>
      </c>
      <c r="Z25" s="181" t="n">
        <f aca="false">VLOOKUP($R25,$AI$22:$AR$25,9,0)</f>
        <v>-2</v>
      </c>
      <c r="AA25" s="67" t="n">
        <f aca="false">IF(SUM($AK$22:$AK$25)=12,MIN(ABS(BY24-BY25),ABS(BY25-BY26)),100)</f>
        <v>1114999999.99</v>
      </c>
      <c r="AB25" s="68" t="str">
        <f aca="false">IF(AND(AA25&gt;=0,AA25&lt;90),VLOOKUP(Q25,$BU$22:$BV$25,2,0),"")</f>
        <v/>
      </c>
      <c r="AC25" s="69"/>
      <c r="AD25" s="70"/>
      <c r="AE25" s="71"/>
      <c r="AF25" s="24" t="n">
        <f aca="false">VLOOKUP($R25,$AI$22:$AR$25,10,0)</f>
        <v>3326210499.9</v>
      </c>
      <c r="AG25" s="11" t="n">
        <f aca="false">RANK(AU25,$AU$22:$AU$25)</f>
        <v>2</v>
      </c>
      <c r="AH25" s="11" t="n">
        <f aca="false">RANK(AR25,$AR$22:$AR$25)</f>
        <v>2</v>
      </c>
      <c r="AI25" s="10" t="str">
        <f aca="false">A24</f>
        <v>Polonia</v>
      </c>
      <c r="AJ25" s="11" t="n">
        <f aca="false">AL25*3+AM25*1+AN25*0</f>
        <v>4</v>
      </c>
      <c r="AK25" s="11" t="n">
        <f aca="false">COUNTIFS($I$4:$I$65,AI25,$K$4:$K$65,"&lt;&gt;",$L$4:$L$65,"&lt;&gt;")+COUNTIFS($N$4:$N$65,AI25,$L$4:$L$65,"&lt;&gt;",$K$4:$K$65,"&lt;&gt;")</f>
        <v>3</v>
      </c>
      <c r="AL25" s="11" t="n">
        <f aca="false" t="array" ref="AL25:AL25">SUM(($I$4:$I$65=AI25)*($K$4:$K$65&lt;&gt;"")*($L$4:$L$65&lt;&gt;"")*($K$4:$K$65&gt;$L$4:$L$65),($N$4:$N$65=AI25)*($K$4:$K$65&lt;&gt;"")*($L$4:$L$65&lt;&gt;"")*($K$4:$K$65&lt;$L$4:$L$65))</f>
        <v>1</v>
      </c>
      <c r="AM25" s="11" t="n">
        <f aca="false" t="array" ref="AM25:AM25">SUM(($I$4:$I$65=AI25)*($K$4:$K$65&lt;&gt;"")*($L$4:$L$65&lt;&gt;"")*($K$4:$K$65=$L$4:$L$65),($N$4:$N$65=AI25)*($K$4:$K$65&lt;&gt;"")*($L$4:$L$65&lt;&gt;"")*($K$4:$K$65=$L$4:$L$65))</f>
        <v>1</v>
      </c>
      <c r="AN25" s="11" t="n">
        <f aca="false" t="array" ref="AN25:AN25">SUM(($I$4:$I$65=AI25)*($L$4:$L$65&lt;&gt;"")*($K$4:$K$65&lt;&gt;"")*($K$4:$K$65&lt;$L$4:$L$65),($K$4:$K$65&lt;&gt;"")*($N$4:$N$65=AI25)*($L$4:$L$65&lt;&gt;"")*($K$4:$K$65&gt;$L$4:$L$65))</f>
        <v>1</v>
      </c>
      <c r="AO25" s="11" t="n">
        <f aca="false" t="array" ref="AO25:AO25">SUMIFS($K$4:$K$65,$I$4:$I$65,AI25,$K$4:$K$65,"&lt;&gt;",$L$4:$L$65,"&lt;&gt;")+SUMIFS($L$4:$L$65,$N$4:$N$65,AI25,$K$4:$K$65,"&lt;&gt;",$L$4:$L$65,"&lt;&gt;")</f>
        <v>2</v>
      </c>
      <c r="AP25" s="11" t="n">
        <f aca="false" t="array" ref="AP25:AP25">SUMIFS($K$4:$K$65,$N$4:$N$65,AI25,$K$4:$K$65,"&lt;&gt;",$L$4:$L$65,"&lt;&gt;")+SUMIFS($L$4:$L$65,$I$4:$I$65,AI25,$K$4:$K$65,"&lt;&gt;",$L$4:$L$65,"&lt;&gt;")</f>
        <v>2</v>
      </c>
      <c r="AQ25" s="11" t="n">
        <f aca="false">AO25-AP25</f>
        <v>0</v>
      </c>
      <c r="AR25" s="11" t="n">
        <f aca="false">IF(AK25=0,-($AW$11*VLOOKUP(AI25,Tabla3[[NombreEquipo]:[Rank]],3,0)),AJ25*$AW$4+AQ25*$AW$5+AO25*$AW$6+BA25-($AW$11*VLOOKUP(AI25,Tabla3[[NombreEquipo]:[Rank]],3,0)/100))</f>
        <v>4446210499.88</v>
      </c>
      <c r="AS25" s="11" t="n">
        <f aca="false">AH25</f>
        <v>2</v>
      </c>
      <c r="AU25" s="11" t="n">
        <f aca="false">IFERROR(AR25-VLOOKUP(AI25,$AB$22:$AC$25,2,0),AR25)</f>
        <v>4446210499.88</v>
      </c>
      <c r="AW25" s="31"/>
      <c r="AY25" s="72" t="str">
        <f aca="false">AI25</f>
        <v>Polonia</v>
      </c>
      <c r="AZ25" s="11" t="n">
        <f aca="false">COUNTIF(AJ22:AJ25,AJ25)</f>
        <v>2</v>
      </c>
      <c r="BA25" s="11" t="n">
        <f aca="false">(BB25*$AW$9)+(BH25*$AW$8)+(BN25*$AW$7)</f>
        <v>210500</v>
      </c>
      <c r="BB25" s="73" t="n">
        <f aca="false">RANK(BC25,BC22:BC25,1)</f>
        <v>1</v>
      </c>
      <c r="BC25" s="73" t="n">
        <f aca="false">SUM(IF(AND(AJ25=AJ22,AQ25=AQ22,AO25=AO22),BD25,0),IF(AND(AJ25=AJ23,AQ25=AQ23,AO25=AO23),BE25,0),IF(AND(AJ25=AJ24,AQ25=AQ24,AO25=AO24),BF25,0))</f>
        <v>0</v>
      </c>
      <c r="BD25" s="73" t="n">
        <f aca="false" t="array" ref="BD25:BD25">SUMIFS($K$20:$K$25,$I$20:$I$25,$AY25,$K$20:$K$25,"&lt;&gt;",$L$20:$L$25,"&lt;&gt;",$N$20:$N$25,BD21)+SUMIFS($L$20:$L$25,$I$20:$I$25,BD21,$K$20:$K$25,"&lt;&gt;",$L$20:$L$25,"&lt;&gt;",$N$20:$N$25,$AY25)</f>
        <v>0</v>
      </c>
      <c r="BE25" s="73" t="n">
        <f aca="false" t="array" ref="BE25:BE25">SUMIFS($K$20:$K$25,$I$20:$I$25,$AY25,$K$20:$K$25,"&lt;&gt;",$L$20:$L$25,"&lt;&gt;",$N$20:$N$25,BE21)+SUMIFS($L$20:$L$25,$I$20:$I$25,BE21,$K$20:$K$25,"&lt;&gt;",$L$20:$L$25,"&lt;&gt;",$N$20:$N$25,$AY25)</f>
        <v>2</v>
      </c>
      <c r="BF25" s="73" t="n">
        <f aca="false" t="array" ref="BF25:BF25">SUMIFS($K$20:$K$25,$I$20:$I$25,$AY25,$K$20:$K$25,"&lt;&gt;",$L$20:$L$25,"&lt;&gt;",$N$20:$N$25,BF21)+SUMIFS($L$20:$L$25,$I$20:$I$25,BF21,$K$20:$K$25,"&lt;&gt;",$L$20:$L$25,"&lt;&gt;",$N$20:$N$25,$AY25)</f>
        <v>0</v>
      </c>
      <c r="BG25" s="73" t="n">
        <v>0</v>
      </c>
      <c r="BH25" s="73" t="n">
        <f aca="false">RANK(BI25,BI22:BI25,1)</f>
        <v>1</v>
      </c>
      <c r="BI25" s="73" t="n">
        <f aca="false">SUM(IF(AND(AJ25=AJ22,AQ25=AQ22,AO25=AO22),BJ25,0),IF(AND(AJ25=AJ23,AQ25=AQ23,AO25=AO23),BK25,0),IF(AND(AJ25=AJ24,AQ25=AQ24,AO25=AO24),BL25,0))</f>
        <v>0</v>
      </c>
      <c r="BJ25" s="73" t="n">
        <f aca="false">BD25-BG22</f>
        <v>-2</v>
      </c>
      <c r="BK25" s="73" t="n">
        <f aca="false">BE25-BG23</f>
        <v>2</v>
      </c>
      <c r="BL25" s="73" t="n">
        <f aca="false">BF25-BG24</f>
        <v>0</v>
      </c>
      <c r="BM25" s="73" t="n">
        <v>0</v>
      </c>
      <c r="BN25" s="73" t="n">
        <f aca="false">RANK(BO25,BO22:BO25,1)</f>
        <v>1</v>
      </c>
      <c r="BO25" s="73" t="n">
        <f aca="false">SUM(IF(AND(AJ25=AJ22,AQ25=AQ22,AO25=AO22),BP25,0),IF(AND(AJ25=AJ23,AQ25=AQ23,AO25=AO23),BQ25,0),IF(AND(AJ25=AJ24,AQ25=AQ24,AO25=AO24),BR25,0))</f>
        <v>0</v>
      </c>
      <c r="BP25" s="73" t="n">
        <f aca="false" t="array" ref="BP25:BP25">SUM((I$4:I$49=AY25)*(N$4:N$49=BP21)*(K$4:K$49&lt;&gt;"")*(L$4:L$49&lt;&gt;"")*(K$4:K$49&gt;L$4:L$49)*3,(N$4:N$49=AY25)*(I$4:I$49=BP21)*(K$4:K$49&lt;&gt;"")*(L$4:L$49&lt;&gt;"")*(K$4:K$49=L$4:L$49)*1,(N$4:N$49=AY25)*(I$4:I$49=BP21)*(K$4:K$49&lt;&gt;"")*(L$4:L$49&lt;&gt;"")*(K$4:K$49&lt;L$4:L$49)*3,(I$4:I$49=AY25)*(N$4:N$49=BP21)*(K$4:K$49&lt;&gt;"")*(L$4:L$49&lt;&gt;"")*(K$4:K$49=L$4:L$49)*1)</f>
        <v>0</v>
      </c>
      <c r="BQ25" s="73" t="n">
        <f aca="false" t="array" ref="BQ25:BQ25">SUM((I$4:I$49=AY25)*(N$4:N$49=BQ21)*(K$4:K$49&lt;&gt;"")*(L$4:L$49&lt;&gt;"")*(K$4:K$49&gt;L$4:L$49)*3,(N$4:N$49=AY25)*(I$4:I$49=BQ21)*(K$4:K$49&lt;&gt;"")*(L$4:L$49&lt;&gt;"")*(K$4:K$49=L$4:L$49)*1,(N$4:N$49=AY25)*(I$4:I$49=BQ21)*(K$4:K$49&lt;&gt;"")*(L$4:L$49&lt;&gt;"")*(K$4:K$49&lt;L$4:L$49)*3,(I$4:I$49=AY25)*(N$4:N$49=BQ21)*(K$4:K$49&lt;&gt;"")*(L$4:L$49&lt;&gt;"")*(K$4:K$49=L$4:L$49)*1)</f>
        <v>3</v>
      </c>
      <c r="BR25" s="73" t="n">
        <f aca="false" t="array" ref="BR25:BR25">SUM((I$4:I$49=AY25)*(N$4:N$49=BR21)*(K$4:K$49&lt;&gt;"")*(L$4:L$49&lt;&gt;"")*(K$4:K$49&gt;L$4:L$49)*3,(N$4:N$49=AY25)*(I$4:I$49=BR21)*(K$4:K$49&lt;&gt;"")*(L$4:L$49&lt;&gt;"")*(K$4:K$49=L$4:L$49)*1,(N$4:N$49=AY25)*(I$4:I$49=BR21)*(K$4:K$49&lt;&gt;"")*(L$4:L$49&lt;&gt;"")*(K$4:K$49&lt;L$4:L$49)*3,(I$4:I$49=AY25)*(N$4:N$49=BR21)*(K$4:K$49&lt;&gt;"")*(L$4:L$49&lt;&gt;"")*(K$4:K$49=L$4:L$49)*1)</f>
        <v>1</v>
      </c>
      <c r="BS25" s="73" t="n">
        <v>0</v>
      </c>
      <c r="BT25" s="10" t="n">
        <v>4</v>
      </c>
      <c r="BU25" s="10" t="n">
        <f aca="false">RANK(BW25,$BW$22:$BW$25)</f>
        <v>2</v>
      </c>
      <c r="BV25" s="10" t="str">
        <f aca="false">A24</f>
        <v>Polonia</v>
      </c>
      <c r="BW25" s="10" t="n">
        <f aca="false">IF(AK25=0,-($AW$11*VLOOKUP(AI25,Tabla3[[NombreEquipo]:[Rank]],3,0)),AJ25*$AW$4+BA25+AQ25*$AW$8+AO25*$AW$9+AL25*$AW$10-($AW$11*VLOOKUP(AI25,Tabla3[[NombreEquipo]:[Rank]],3,0)/100))</f>
        <v>4444211599.88</v>
      </c>
      <c r="BX25" s="10" t="str">
        <f aca="false">VLOOKUP(Q25,$AH$22:$AI$25,2,0)</f>
        <v>Arabia Saudita</v>
      </c>
      <c r="BY25" s="10" t="n">
        <f aca="false">VLOOKUP($BX25,$AI$22:$AR$25,10,0)</f>
        <v>3326210499.9</v>
      </c>
      <c r="BZ25" s="10"/>
      <c r="CA25" s="10" t="n">
        <v>4</v>
      </c>
      <c r="CB25" s="10" t="str">
        <f aca="false">VLOOKUP(CA25,$AH$22:$AI$25,2,0)</f>
        <v>Arabia Saudita</v>
      </c>
      <c r="CC25" s="10" t="n">
        <f aca="false">VLOOKUP(CB25,$AI$22:$AR$25,2,0)</f>
        <v>3</v>
      </c>
      <c r="CD25" s="74" t="n">
        <f aca="false">IF(SUM($AK$22:$AK$25)=12,MIN(ABS(BY24-BY25),ABS(BY25-BY26)),100)</f>
        <v>1114999999.99</v>
      </c>
      <c r="CE25" s="10" t="n">
        <f aca="false">VLOOKUP($CB25,$AI$22:$AR$25,9,0)</f>
        <v>-2</v>
      </c>
      <c r="CF25" s="10" t="n">
        <f aca="false">VLOOKUP($CB25,$AI$22:$AR$25,7,0)</f>
        <v>3</v>
      </c>
      <c r="CG25" s="10"/>
      <c r="CH25" s="10" t="n">
        <f aca="false" t="array" ref="CH25:CH25">IF($CI$22=$CL$21,$EC$21:$EC$24,IF(OR($CI$22=$CN$21,$CI$22=$CR$21),$EG$21:$EG$22,IF($CI$22=$CP$21,$EF$21:$EF$23,$EL$21)))</f>
        <v>4</v>
      </c>
      <c r="CK25" s="11" t="n">
        <v>4</v>
      </c>
      <c r="CL25" s="11" t="n">
        <f aca="false" t="array" ref="CL25:CL25">IF(AND($CC$22:$CC$25=$CC$25,$CD$22:$CD$25&lt;90,$AQ$22:$AQ$25=$AQ$25,$CF$22:$CF$25=$CF$25),1,0)</f>
        <v>0</v>
      </c>
      <c r="CM25" s="11" t="n">
        <f aca="false" t="array" ref="CM25:CM25">IF(AND($CC$22:$CC$24=$CC$22,$CD$22:$CD$24&lt;90,$CD$25&gt;90,$CC$22&lt;&gt;$CC$25),1,0)</f>
        <v>0</v>
      </c>
      <c r="CN25" s="11" t="n">
        <f aca="false" t="array" ref="CN25:CN25">IF(AND($CC$24:$CC$25=$CC$24,$CD$24:$CD$25&lt;90,$CC$24&lt;&gt;$CC$23),1,0)</f>
        <v>0</v>
      </c>
      <c r="CO25" s="11" t="n">
        <f aca="false" t="array" ref="CO25:CO25">IF(AND($CC$25&lt;&gt;$CC$23,$CC$25&lt;&gt;$CC$22),1,0)</f>
        <v>1</v>
      </c>
      <c r="CP25" s="11" t="n">
        <f aca="false" t="array" ref="CP25:CP25">IF(AND($CC$23:$CC$25=$CC$23,$CD$23:$CD$25&lt;90,$CC$22&lt;&gt;$CC$25),1,0)</f>
        <v>0</v>
      </c>
      <c r="CQ25" s="11" t="n">
        <f aca="false" t="array" ref="CQ25:CQ25">IF(AND($CC$25&lt;&gt;$CC$23,$CC$25&lt;&gt;$CC$22),1,0)</f>
        <v>1</v>
      </c>
      <c r="CR25" s="11" t="n">
        <f aca="false" t="array" ref="CR25:CR25">IF(AND($CC$24:$CC$25=$CC$24,$CD$24:$CD$25&lt;90,$CC$24&lt;&gt;$CC$23),1,0)</f>
        <v>0</v>
      </c>
      <c r="CS25" s="11" t="n">
        <f aca="false" t="array" ref="CS25:CS25">IF(AND($CC$25&lt;&gt;$CC$23,$CC$25&lt;&gt;$CC$22),1,0)</f>
        <v>1</v>
      </c>
      <c r="CT25" s="11" t="n">
        <f aca="false" t="array" ref="CT25:CT25">IF(AND($CC$22:$CC$25=$CC$22,$CD$22:$CD$25&lt;90,$CE$24:$CE$25=$CE$25,$CE$23&lt;&gt;$CE$25),1,0)</f>
        <v>0</v>
      </c>
      <c r="CU25" s="11" t="n">
        <f aca="false" t="array" ref="CU25:CU25">IF(AND($CC$22:$CC$25=$CC$22,$CD$22:$CD$25&lt;90,$CE$22:$CE$25=$CE$22,$CF$24=$CF$25,$CF$23&lt;&gt;$CF$24),1,0)</f>
        <v>0</v>
      </c>
      <c r="CV25" s="11" t="n">
        <f aca="false" t="array" ref="CV25:CV25">IF(AND($CC$22:$CC$24=$CC$22,$CD$22:$CD$23&lt;90,$CC$24&lt;&gt;$CC$25),1,0)</f>
        <v>0</v>
      </c>
      <c r="CW25" s="11" t="n">
        <f aca="false" t="array" ref="CW25:CW25">IF(AND($CC$23&lt;&gt;$CC$22,$CC$23:$CC$25=$CC$24,$CD$23&gt;90,$CD$24:$CD$25&lt;90),1,0)</f>
        <v>0</v>
      </c>
      <c r="CX25" s="11" t="n">
        <f aca="false" t="array" ref="CX25:CX25">IF(AND($CC$23&lt;&gt;$CC$22,$CC$23:$CC$25=$CC$23,$CD$25&gt;90,$CD$23:$CD$24&lt;90),1,0)</f>
        <v>0</v>
      </c>
      <c r="CY25" s="11" t="n">
        <f aca="false" t="array" ref="CY25:CY25">IF(AND($CC$25&lt;&gt;$CC$23,$CC$25&lt;&gt;$CC$24),1,0)</f>
        <v>1</v>
      </c>
      <c r="CZ25" s="11" t="n">
        <f aca="false" t="array" ref="CZ25:CZ25">IF(AND($CC$22:$CC$25=$CC$23,$CD$23:$CD$25&lt;90,$CD$22&lt;&gt;$CD$25),1,0)</f>
        <v>0</v>
      </c>
      <c r="DA25" s="11" t="n">
        <f aca="false" t="array" ref="DA25:DA25">IF(AND($CC$22:$CC$25=$CC$22,$CD$22:$CD$24&lt;90,$CD$24&lt;&gt;$CD$25),1,0)</f>
        <v>0</v>
      </c>
      <c r="DB25" s="11" t="n">
        <f aca="false" t="array" ref="DB25:DB25">IF(AND($CC$22:$CC$25=$CC$25,$CD$22:$CD$23&gt;90,$CD$24:$CD$25&lt;90,$CE$22:$CE$25=$CE$25,$CF$22&gt;$CF$23,$CF$23&gt;$CF$25,$CF$24=$CF$25),1,0)</f>
        <v>0</v>
      </c>
      <c r="DC25" s="11" t="n">
        <f aca="false" t="array" ref="DC25:DC25">IF(AND($CC$22:$CC$25=$CC$23,$CD$22&gt;90,$CD$23:$CD$24&lt;90,$CD$25&gt;90,$CE$22:$CE$25=$CE$25,$CF$22&gt;$CF$25,$CF$23=$CF$24,$CF$23&gt;$CF$25),1,0)</f>
        <v>0</v>
      </c>
      <c r="DD25" s="11" t="n">
        <f aca="false" t="array" ref="DD25:DD25">IF(AND($CC$22:$CC$25=$CC$25,$CD$22:$CD$23&lt;90,$CD$24:$CD$25&gt;90,$CE$22:$CE$25=$CE$25,$CF$22=$CF$23,$CF$23&gt;$CF$24,$CF$24&gt;$CF$25),1,0)</f>
        <v>0</v>
      </c>
      <c r="DE25" s="11" t="n">
        <f aca="false" t="array" ref="DE25:DE25">IF(AND($CC$22:$CC$25=$CC$25,$CD$22:$CD$23&gt;90,$CD$24:$CD$25&lt;90,$CE$22:$CE$25=$CE$25,$CF$22&gt;$CF$25,$CF$23:$CF$25=$CF$25),1,0)</f>
        <v>0</v>
      </c>
      <c r="DF25" s="11" t="n">
        <f aca="false" t="array" ref="DF25:DF25">IF(AND($CC$22:$CC$25=$CC$25,$CD$22:$CD$23&lt;90,$CD$24:$CD$25&gt;90,$CE$22:$CE$25=$CE$25,$CF$22:$CF$24=$CF$24,$CF$22:$CF$24&gt;$CF$25),1,0)</f>
        <v>0</v>
      </c>
      <c r="DG25" s="11" t="n">
        <f aca="false" t="array" ref="DG25:DG25">IF(AND($CC$22:$CC$25=$CC$25,$CD$22&gt;90,$CD$25&gt;90,$CD$23:$CD$24&lt;90,$CE$22:$CE$25=$CE$25,$CF$22&gt;$CF$23:$CF$25,$CF$23:$CF$25=$CF$25),1,0)</f>
        <v>0</v>
      </c>
      <c r="FI25" s="73"/>
      <c r="FK25" s="73"/>
      <c r="FM25" s="73"/>
    </row>
    <row r="26" s="11" customFormat="true" ht="15" hidden="false" customHeight="false" outlineLevel="0" collapsed="false">
      <c r="A26" s="12"/>
      <c r="B26" s="12"/>
      <c r="C26" s="12"/>
      <c r="D26" s="35"/>
      <c r="E26" s="15"/>
      <c r="F26" s="142"/>
      <c r="G26" s="15"/>
      <c r="H26" s="15"/>
      <c r="I26" s="15"/>
      <c r="J26" s="15"/>
      <c r="K26" s="15"/>
      <c r="L26" s="15"/>
      <c r="M26" s="14"/>
      <c r="N26" s="15"/>
      <c r="O26" s="141"/>
      <c r="P26" s="15"/>
      <c r="Q26" s="15"/>
      <c r="R26" s="15"/>
      <c r="S26" s="15"/>
      <c r="T26" s="15"/>
      <c r="U26" s="15"/>
      <c r="V26" s="15"/>
      <c r="W26" s="15"/>
      <c r="X26" s="15"/>
      <c r="Y26" s="15"/>
      <c r="Z26" s="15"/>
      <c r="AA26" s="142"/>
      <c r="AB26" s="15"/>
      <c r="AC26" s="143"/>
      <c r="AD26" s="70"/>
      <c r="AE26" s="71"/>
      <c r="AF26" s="24"/>
      <c r="AI26" s="10"/>
      <c r="AW26" s="31"/>
      <c r="AY26" s="72"/>
      <c r="BB26" s="73"/>
      <c r="BC26" s="73"/>
      <c r="BD26" s="73"/>
      <c r="BE26" s="73"/>
      <c r="BF26" s="73"/>
      <c r="BG26" s="73"/>
      <c r="BH26" s="73"/>
      <c r="BI26" s="73"/>
      <c r="BJ26" s="73"/>
      <c r="BK26" s="73"/>
      <c r="BL26" s="73"/>
      <c r="BM26" s="73"/>
      <c r="BN26" s="73"/>
      <c r="BO26" s="73"/>
      <c r="BP26" s="73"/>
      <c r="BQ26" s="73"/>
      <c r="BR26" s="73"/>
      <c r="BS26" s="73"/>
      <c r="BT26" s="10"/>
      <c r="BU26" s="10"/>
      <c r="BV26" s="10"/>
      <c r="BW26" s="10"/>
      <c r="BX26" s="10"/>
      <c r="BY26" s="10"/>
      <c r="BZ26" s="10"/>
      <c r="CA26" s="10"/>
      <c r="CB26" s="10"/>
      <c r="CC26" s="10"/>
      <c r="CD26" s="74"/>
      <c r="CE26" s="10"/>
      <c r="CF26" s="10"/>
      <c r="CG26" s="10"/>
      <c r="CH26" s="10"/>
      <c r="FI26" s="73"/>
      <c r="FK26" s="73"/>
      <c r="FM26" s="73"/>
    </row>
    <row r="27" s="11" customFormat="true" ht="15.75" hidden="false" customHeight="false" outlineLevel="0" collapsed="false">
      <c r="A27" s="12"/>
      <c r="B27" s="33"/>
      <c r="C27" s="12"/>
      <c r="D27" s="15"/>
      <c r="E27" s="25"/>
      <c r="F27" s="26" t="str">
        <f aca="false">F11</f>
        <v>Fecha</v>
      </c>
      <c r="G27" s="26" t="str">
        <f aca="false">G11</f>
        <v>Hora</v>
      </c>
      <c r="H27" s="27" t="str">
        <f aca="false">H11</f>
        <v>Jor.</v>
      </c>
      <c r="I27" s="28" t="str">
        <f aca="false">I11</f>
        <v>Casa</v>
      </c>
      <c r="J27" s="26"/>
      <c r="K27" s="29" t="str">
        <f aca="false">K11</f>
        <v>Gol</v>
      </c>
      <c r="L27" s="29" t="str">
        <f aca="false">L11</f>
        <v>Gol</v>
      </c>
      <c r="M27" s="29"/>
      <c r="N27" s="30" t="str">
        <f aca="false">N11</f>
        <v>Fuera</v>
      </c>
      <c r="O27" s="144"/>
      <c r="P27" s="21"/>
      <c r="Q27" s="21"/>
      <c r="R27" s="21"/>
      <c r="S27" s="21"/>
      <c r="T27" s="21"/>
      <c r="U27" s="21"/>
      <c r="V27" s="21"/>
      <c r="W27" s="21"/>
      <c r="X27" s="21"/>
      <c r="Y27" s="21"/>
      <c r="Z27" s="21"/>
      <c r="AA27" s="101"/>
      <c r="AB27" s="22"/>
      <c r="AC27" s="22"/>
      <c r="AD27" s="22"/>
      <c r="AE27" s="23"/>
      <c r="AF27" s="24"/>
      <c r="AW27" s="31"/>
      <c r="CH27" s="10"/>
      <c r="CL27" s="24" t="n">
        <v>1</v>
      </c>
      <c r="CM27" s="24" t="n">
        <v>12</v>
      </c>
      <c r="CN27" s="24" t="n">
        <v>18</v>
      </c>
      <c r="CO27" s="24" t="n">
        <v>19</v>
      </c>
      <c r="CP27" s="24" t="n">
        <v>13</v>
      </c>
      <c r="CQ27" s="24" t="n">
        <v>20</v>
      </c>
      <c r="CR27" s="24" t="n">
        <v>21</v>
      </c>
      <c r="CS27" s="24" t="n">
        <v>22</v>
      </c>
      <c r="CT27" s="24" t="n">
        <v>3</v>
      </c>
      <c r="CU27" s="24" t="n">
        <v>2</v>
      </c>
      <c r="CV27" s="24" t="n">
        <v>14</v>
      </c>
      <c r="CW27" s="24" t="n">
        <v>17</v>
      </c>
      <c r="CX27" s="24" t="n">
        <v>16</v>
      </c>
      <c r="CY27" s="24" t="n">
        <v>15</v>
      </c>
      <c r="CZ27" s="24" t="n">
        <v>4</v>
      </c>
      <c r="DA27" s="24" t="n">
        <v>5</v>
      </c>
      <c r="DB27" s="24" t="n">
        <v>10</v>
      </c>
      <c r="DC27" s="24" t="n">
        <v>8</v>
      </c>
      <c r="DD27" s="24" t="n">
        <v>6</v>
      </c>
      <c r="DE27" s="24" t="n">
        <v>11</v>
      </c>
      <c r="DF27" s="24" t="n">
        <v>7</v>
      </c>
      <c r="DG27" s="24" t="n">
        <v>9</v>
      </c>
      <c r="DH27" s="24"/>
      <c r="DI27" s="24"/>
      <c r="EC27" s="10" t="s">
        <v>19</v>
      </c>
      <c r="ED27" s="10" t="s">
        <v>20</v>
      </c>
      <c r="EE27" s="10" t="s">
        <v>21</v>
      </c>
      <c r="EF27" s="10" t="s">
        <v>22</v>
      </c>
      <c r="EG27" s="10" t="s">
        <v>23</v>
      </c>
      <c r="EH27" s="10" t="s">
        <v>24</v>
      </c>
      <c r="EI27" s="10" t="s">
        <v>25</v>
      </c>
      <c r="EJ27" s="10" t="s">
        <v>26</v>
      </c>
      <c r="EK27" s="10" t="s">
        <v>27</v>
      </c>
      <c r="EL27" s="10" t="s">
        <v>28</v>
      </c>
    </row>
    <row r="28" s="11" customFormat="true" ht="15" hidden="false" customHeight="true" outlineLevel="0" collapsed="false">
      <c r="A28" s="32" t="s">
        <v>29</v>
      </c>
      <c r="B28" s="33" t="s">
        <v>84</v>
      </c>
      <c r="C28" s="34" t="n">
        <f aca="false">COUNTIF(Equipos!$C$2:$C$33,MUNDIAL!B28)</f>
        <v>4</v>
      </c>
      <c r="D28" s="35"/>
      <c r="E28" s="182" t="s">
        <v>84</v>
      </c>
      <c r="F28" s="183" t="n">
        <f aca="false">Horarios!C28</f>
        <v>44887.6666666667</v>
      </c>
      <c r="G28" s="184" t="n">
        <f aca="false">Horarios!C28</f>
        <v>44887.6666666667</v>
      </c>
      <c r="H28" s="183" t="s">
        <v>31</v>
      </c>
      <c r="I28" s="185" t="str">
        <f aca="false">A30</f>
        <v>Dinamarca</v>
      </c>
      <c r="J28" s="186" t="str">
        <f aca="false">VLOOKUP(I28,Equipos!$H$2:$I$33,2,0)</f>
        <v>🇩🇰</v>
      </c>
      <c r="K28" s="187" t="n">
        <v>0</v>
      </c>
      <c r="L28" s="187" t="n">
        <v>0</v>
      </c>
      <c r="M28" s="188" t="str">
        <f aca="false">VLOOKUP(N28,Equipos!$H$2:$I$33,2,0)</f>
        <v>🇹🇳</v>
      </c>
      <c r="N28" s="189" t="str">
        <f aca="false">A31</f>
        <v>Túnez</v>
      </c>
      <c r="O28" s="44" t="n">
        <f aca="false">IF(NOT(OR(ISBLANK(K28),ISBLANK(L28))),1,0)</f>
        <v>1</v>
      </c>
      <c r="P28" s="45"/>
      <c r="Q28" s="190" t="str">
        <f aca="false">CONCATENATE("Grupo"," ",B28)</f>
        <v>Grupo D</v>
      </c>
      <c r="R28" s="190"/>
      <c r="S28" s="190"/>
      <c r="T28" s="190"/>
      <c r="U28" s="190"/>
      <c r="V28" s="190"/>
      <c r="W28" s="190"/>
      <c r="X28" s="190"/>
      <c r="Y28" s="190"/>
      <c r="Z28" s="190"/>
      <c r="AA28" s="111"/>
      <c r="AB28" s="48" t="s">
        <v>32</v>
      </c>
      <c r="AC28" s="48"/>
      <c r="AD28" s="48"/>
      <c r="AE28" s="23"/>
      <c r="AF28" s="24"/>
      <c r="AH28" s="11" t="str">
        <f aca="false">CONCATENATE("Auxiliar - ",Q28)</f>
        <v>Auxiliar - Grupo D</v>
      </c>
      <c r="AU28" s="11" t="s">
        <v>33</v>
      </c>
      <c r="AW28" s="31"/>
      <c r="AY28" s="24" t="str">
        <f aca="false">CONCATENATE(Q28," - GOLAVERAGE")</f>
        <v>Grupo D - GOLAVERAGE</v>
      </c>
      <c r="BB28" s="11" t="s">
        <v>35</v>
      </c>
      <c r="BH28" s="11" t="s">
        <v>36</v>
      </c>
      <c r="BN28" s="11" t="s">
        <v>37</v>
      </c>
      <c r="BO28" s="73"/>
      <c r="BP28" s="73"/>
      <c r="BQ28" s="73"/>
      <c r="BR28" s="73"/>
      <c r="BS28" s="73"/>
      <c r="BT28" s="10"/>
      <c r="BU28" s="10"/>
      <c r="BV28" s="10"/>
      <c r="BW28" s="10"/>
      <c r="BX28" s="10"/>
      <c r="BY28" s="10"/>
      <c r="BZ28" s="10"/>
      <c r="CA28" s="10"/>
      <c r="CB28" s="10"/>
      <c r="CC28" s="10"/>
      <c r="CD28" s="10"/>
      <c r="CE28" s="10"/>
      <c r="CF28" s="10"/>
      <c r="CG28" s="10"/>
      <c r="CH28" s="10"/>
      <c r="CI28" s="11" t="s">
        <v>38</v>
      </c>
      <c r="CK28" s="11" t="s">
        <v>39</v>
      </c>
      <c r="CL28" s="11" t="n">
        <f aca="false">SUM(CL30:CL33)</f>
        <v>0</v>
      </c>
      <c r="CM28" s="11" t="n">
        <f aca="false">SUM(CM30:CM33)</f>
        <v>0</v>
      </c>
      <c r="CN28" s="11" t="n">
        <f aca="false">SUM(CN30:CN33)</f>
        <v>0</v>
      </c>
      <c r="CO28" s="11" t="n">
        <f aca="false">SUM(CO30:CO33)</f>
        <v>2</v>
      </c>
      <c r="CP28" s="11" t="n">
        <f aca="false">SUM(CP30:CP33)</f>
        <v>0</v>
      </c>
      <c r="CQ28" s="11" t="n">
        <f aca="false">SUM(CQ30:CQ33)</f>
        <v>1</v>
      </c>
      <c r="CR28" s="11" t="n">
        <f aca="false">SUM(CR30:CR33)</f>
        <v>0</v>
      </c>
      <c r="CS28" s="11" t="n">
        <f aca="false">SUM(CS30:CS33)</f>
        <v>2</v>
      </c>
      <c r="CT28" s="11" t="n">
        <f aca="false">SUM(CT30:CT33)</f>
        <v>0</v>
      </c>
      <c r="CU28" s="11" t="n">
        <f aca="false">SUM(CU30:CU33)</f>
        <v>0</v>
      </c>
      <c r="CV28" s="11" t="n">
        <f aca="false">SUM(CV30:CV33)</f>
        <v>0</v>
      </c>
      <c r="CW28" s="11" t="n">
        <f aca="false">SUM(CW30:CW33)</f>
        <v>0</v>
      </c>
      <c r="CX28" s="11" t="n">
        <f aca="false">SUM(CX30:CX33)</f>
        <v>0</v>
      </c>
      <c r="CY28" s="11" t="n">
        <f aca="false">SUM(CY30:CY33)</f>
        <v>1</v>
      </c>
      <c r="CZ28" s="11" t="n">
        <f aca="false">SUM(CZ30:CZ33)</f>
        <v>0</v>
      </c>
      <c r="DA28" s="11" t="n">
        <f aca="false">SUM(DA30:DA33)</f>
        <v>0</v>
      </c>
      <c r="DB28" s="11" t="n">
        <f aca="false">SUM(DB30:DB33)</f>
        <v>0</v>
      </c>
      <c r="DC28" s="11" t="n">
        <f aca="false">SUM(DC30:DC33)</f>
        <v>0</v>
      </c>
      <c r="DD28" s="11" t="n">
        <f aca="false">SUM(DD30:DD33)</f>
        <v>0</v>
      </c>
      <c r="DE28" s="11" t="n">
        <f aca="false">SUM(DE30:DE33)</f>
        <v>0</v>
      </c>
      <c r="DF28" s="11" t="n">
        <f aca="false">SUM(DF30:DF33)</f>
        <v>0</v>
      </c>
      <c r="DG28" s="11" t="n">
        <f aca="false">SUM(DG30:DG33)</f>
        <v>0</v>
      </c>
      <c r="EC28" s="10" t="n">
        <v>1234</v>
      </c>
      <c r="ED28" s="10" t="n">
        <v>123</v>
      </c>
      <c r="EE28" s="10" t="n">
        <v>12</v>
      </c>
      <c r="EF28" s="10" t="n">
        <v>234</v>
      </c>
      <c r="EG28" s="10" t="n">
        <v>34</v>
      </c>
      <c r="EH28" s="10" t="n">
        <v>23</v>
      </c>
      <c r="EI28" s="10" t="n">
        <v>1</v>
      </c>
      <c r="EJ28" s="10" t="n">
        <v>2</v>
      </c>
      <c r="EK28" s="10" t="n">
        <v>3</v>
      </c>
      <c r="EL28" s="10" t="n">
        <v>4</v>
      </c>
      <c r="FM28" s="73"/>
    </row>
    <row r="29" s="11" customFormat="true" ht="15.75" hidden="false" customHeight="false" outlineLevel="0" collapsed="false">
      <c r="A29" s="32" t="str">
        <f aca="true" t="array" ref="A29:A29">IF(ROWS(A$29:A29)&lt;=$C$28,INDEX(INDIRECT(A$28),SMALL(IF(Nivell=$B$28,ROW(Nivell)-ROW(Equipos!$C$2)+1),ROWS(B$28:B28))),"")</f>
        <v>Francia</v>
      </c>
      <c r="B29" s="33"/>
      <c r="C29" s="33"/>
      <c r="D29" s="35"/>
      <c r="E29" s="182"/>
      <c r="F29" s="191" t="n">
        <f aca="false">Horarios!C29</f>
        <v>44887.9166666667</v>
      </c>
      <c r="G29" s="192" t="n">
        <f aca="false">Horarios!C29</f>
        <v>44887.9166666667</v>
      </c>
      <c r="H29" s="191" t="s">
        <v>31</v>
      </c>
      <c r="I29" s="193" t="str">
        <f aca="false">A29</f>
        <v>Francia</v>
      </c>
      <c r="J29" s="194" t="str">
        <f aca="false">VLOOKUP(I29,Equipos!$H$2:$I$33,2,0)</f>
        <v>🇫🇷</v>
      </c>
      <c r="K29" s="195" t="n">
        <v>4</v>
      </c>
      <c r="L29" s="195" t="n">
        <v>1</v>
      </c>
      <c r="M29" s="196" t="str">
        <f aca="false">VLOOKUP(N29,Equipos!$H$2:$I$33,2,0)</f>
        <v>🇦🇺</v>
      </c>
      <c r="N29" s="197" t="str">
        <f aca="false">A32</f>
        <v>Australia</v>
      </c>
      <c r="O29" s="44" t="n">
        <f aca="false">IF(NOT(OR(ISBLANK(K29),ISBLANK(L29))),1,0)</f>
        <v>1</v>
      </c>
      <c r="P29" s="45"/>
      <c r="Q29" s="198" t="s">
        <v>40</v>
      </c>
      <c r="R29" s="199" t="s">
        <v>41</v>
      </c>
      <c r="S29" s="200" t="s">
        <v>42</v>
      </c>
      <c r="T29" s="200" t="s">
        <v>43</v>
      </c>
      <c r="U29" s="200" t="s">
        <v>44</v>
      </c>
      <c r="V29" s="200" t="s">
        <v>45</v>
      </c>
      <c r="W29" s="200" t="s">
        <v>46</v>
      </c>
      <c r="X29" s="200" t="s">
        <v>47</v>
      </c>
      <c r="Y29" s="200" t="s">
        <v>48</v>
      </c>
      <c r="Z29" s="201" t="s">
        <v>49</v>
      </c>
      <c r="AA29" s="111" t="n">
        <f aca="false">COUNTIF(AA30:AA33,"&lt;100")</f>
        <v>0</v>
      </c>
      <c r="AB29" s="48"/>
      <c r="AC29" s="48"/>
      <c r="AD29" s="48"/>
      <c r="AE29" s="23"/>
      <c r="AF29" s="24"/>
      <c r="AG29" s="60" t="s">
        <v>33</v>
      </c>
      <c r="AH29" s="60" t="s">
        <v>50</v>
      </c>
      <c r="AI29" s="60" t="s">
        <v>51</v>
      </c>
      <c r="AJ29" s="60" t="s">
        <v>52</v>
      </c>
      <c r="AK29" s="60" t="s">
        <v>43</v>
      </c>
      <c r="AL29" s="60" t="s">
        <v>44</v>
      </c>
      <c r="AM29" s="60" t="s">
        <v>45</v>
      </c>
      <c r="AN29" s="60" t="s">
        <v>46</v>
      </c>
      <c r="AO29" s="60" t="s">
        <v>47</v>
      </c>
      <c r="AP29" s="60" t="s">
        <v>48</v>
      </c>
      <c r="AQ29" s="60" t="s">
        <v>53</v>
      </c>
      <c r="AR29" s="60" t="s">
        <v>54</v>
      </c>
      <c r="AS29" s="60" t="s">
        <v>50</v>
      </c>
      <c r="AW29" s="31"/>
      <c r="AY29" s="60" t="s">
        <v>51</v>
      </c>
      <c r="AZ29" s="60" t="s">
        <v>56</v>
      </c>
      <c r="BA29" s="60" t="s">
        <v>57</v>
      </c>
      <c r="BB29" s="60" t="s">
        <v>58</v>
      </c>
      <c r="BC29" s="60" t="s">
        <v>59</v>
      </c>
      <c r="BD29" s="60" t="str">
        <f aca="false">AY30</f>
        <v>Francia</v>
      </c>
      <c r="BE29" s="60" t="str">
        <f aca="false">AY31</f>
        <v>Dinamarca</v>
      </c>
      <c r="BF29" s="60" t="str">
        <f aca="false">AY32</f>
        <v>Túnez</v>
      </c>
      <c r="BG29" s="60" t="str">
        <f aca="false">AY33</f>
        <v>Australia</v>
      </c>
      <c r="BH29" s="60" t="s">
        <v>58</v>
      </c>
      <c r="BI29" s="60" t="s">
        <v>59</v>
      </c>
      <c r="BJ29" s="60" t="str">
        <f aca="false">BD29</f>
        <v>Francia</v>
      </c>
      <c r="BK29" s="60" t="str">
        <f aca="false">BE29</f>
        <v>Dinamarca</v>
      </c>
      <c r="BL29" s="60" t="str">
        <f aca="false">BF29</f>
        <v>Túnez</v>
      </c>
      <c r="BM29" s="60" t="str">
        <f aca="false">BG29</f>
        <v>Australia</v>
      </c>
      <c r="BN29" s="60" t="s">
        <v>58</v>
      </c>
      <c r="BO29" s="60" t="s">
        <v>59</v>
      </c>
      <c r="BP29" s="60" t="str">
        <f aca="false">BD29</f>
        <v>Francia</v>
      </c>
      <c r="BQ29" s="60" t="str">
        <f aca="false">BE29</f>
        <v>Dinamarca</v>
      </c>
      <c r="BR29" s="60" t="str">
        <f aca="false">BF29</f>
        <v>Túnez</v>
      </c>
      <c r="BS29" s="60" t="str">
        <f aca="false">BG29</f>
        <v>Australia</v>
      </c>
      <c r="BT29" s="10"/>
      <c r="BU29" s="61"/>
      <c r="BV29" s="61" t="s">
        <v>60</v>
      </c>
      <c r="BW29" s="61"/>
      <c r="BX29" s="61" t="s">
        <v>62</v>
      </c>
      <c r="BY29" s="61"/>
      <c r="BZ29" s="10"/>
      <c r="CA29" s="61"/>
      <c r="CB29" s="61" t="s">
        <v>51</v>
      </c>
      <c r="CC29" s="61" t="s">
        <v>52</v>
      </c>
      <c r="CD29" s="61" t="s">
        <v>63</v>
      </c>
      <c r="CE29" s="61" t="s">
        <v>53</v>
      </c>
      <c r="CF29" s="61" t="s">
        <v>64</v>
      </c>
      <c r="CG29" s="61"/>
      <c r="CH29" s="10"/>
      <c r="CK29" s="11" t="s">
        <v>65</v>
      </c>
      <c r="CL29" s="11" t="s">
        <v>66</v>
      </c>
      <c r="CM29" s="11" t="s">
        <v>67</v>
      </c>
      <c r="CN29" s="11" t="s">
        <v>68</v>
      </c>
      <c r="CO29" s="11" t="s">
        <v>69</v>
      </c>
      <c r="CP29" s="11" t="s">
        <v>70</v>
      </c>
      <c r="CQ29" s="11" t="s">
        <v>71</v>
      </c>
      <c r="CR29" s="11" t="s">
        <v>72</v>
      </c>
      <c r="CS29" s="11" t="s">
        <v>73</v>
      </c>
      <c r="CT29" s="11" t="s">
        <v>68</v>
      </c>
      <c r="CU29" s="11" t="s">
        <v>68</v>
      </c>
      <c r="CV29" s="11" t="s">
        <v>69</v>
      </c>
      <c r="CW29" s="11" t="s">
        <v>72</v>
      </c>
      <c r="CX29" s="11" t="s">
        <v>71</v>
      </c>
      <c r="CY29" s="11" t="s">
        <v>71</v>
      </c>
      <c r="CZ29" s="11" t="s">
        <v>70</v>
      </c>
      <c r="DA29" s="11" t="s">
        <v>67</v>
      </c>
      <c r="DB29" s="11" t="s">
        <v>72</v>
      </c>
      <c r="DC29" s="11" t="s">
        <v>71</v>
      </c>
      <c r="DD29" s="11" t="s">
        <v>69</v>
      </c>
      <c r="DE29" s="11" t="s">
        <v>72</v>
      </c>
      <c r="DF29" s="11" t="s">
        <v>69</v>
      </c>
      <c r="DG29" s="11" t="s">
        <v>71</v>
      </c>
      <c r="EC29" s="10" t="n">
        <v>1</v>
      </c>
      <c r="ED29" s="10" t="n">
        <v>1</v>
      </c>
      <c r="EE29" s="10" t="n">
        <v>1</v>
      </c>
      <c r="EF29" s="10" t="n">
        <v>2</v>
      </c>
      <c r="EG29" s="10" t="n">
        <v>3</v>
      </c>
      <c r="EH29" s="10" t="n">
        <v>2</v>
      </c>
      <c r="EI29" s="10" t="n">
        <v>1</v>
      </c>
      <c r="EJ29" s="10" t="n">
        <v>2</v>
      </c>
      <c r="EK29" s="10" t="n">
        <v>3</v>
      </c>
      <c r="EL29" s="10" t="n">
        <v>4</v>
      </c>
      <c r="FI29" s="60"/>
      <c r="FK29" s="60"/>
      <c r="FM29" s="60"/>
    </row>
    <row r="30" s="11" customFormat="true" ht="15" hidden="false" customHeight="false" outlineLevel="0" collapsed="false">
      <c r="A30" s="32" t="str">
        <f aca="true" t="array" ref="A30:A30">IF(ROWS(A$29:A30)&lt;=$C$28,INDEX(INDIRECT(A$28),SMALL(IF(Nivell=$B$28,ROW(Nivell)-ROW(Equipos!$C$2)+1),ROWS(B$28:B29))),"")</f>
        <v>Dinamarca</v>
      </c>
      <c r="B30" s="33"/>
      <c r="C30" s="62"/>
      <c r="D30" s="35"/>
      <c r="E30" s="182"/>
      <c r="F30" s="191" t="n">
        <f aca="false">Horarios!C30</f>
        <v>44891.5416666667</v>
      </c>
      <c r="G30" s="192" t="n">
        <f aca="false">Horarios!C30</f>
        <v>44891.5416666667</v>
      </c>
      <c r="H30" s="191" t="s">
        <v>74</v>
      </c>
      <c r="I30" s="193" t="str">
        <f aca="false">A31</f>
        <v>Túnez</v>
      </c>
      <c r="J30" s="194" t="str">
        <f aca="false">VLOOKUP(I30,Equipos!$H$2:$I$33,2,0)</f>
        <v>🇹🇳</v>
      </c>
      <c r="K30" s="195" t="n">
        <v>0</v>
      </c>
      <c r="L30" s="195" t="n">
        <v>1</v>
      </c>
      <c r="M30" s="196" t="str">
        <f aca="false">VLOOKUP(N30,Equipos!$H$2:$I$33,2,0)</f>
        <v>🇦🇺</v>
      </c>
      <c r="N30" s="197" t="str">
        <f aca="false">A32</f>
        <v>Australia</v>
      </c>
      <c r="O30" s="44" t="n">
        <f aca="false">IF(NOT(OR(ISBLANK(K30),ISBLANK(L30))),1,0)</f>
        <v>1</v>
      </c>
      <c r="P30" s="45"/>
      <c r="Q30" s="202" t="n">
        <v>1</v>
      </c>
      <c r="R30" s="203" t="str">
        <f aca="false">VLOOKUP(Q30,$AG$30:$AI$33,3,0)</f>
        <v>Francia</v>
      </c>
      <c r="S30" s="204" t="n">
        <f aca="false">VLOOKUP(R30,$AI$30:$AR$33,2,0)</f>
        <v>6</v>
      </c>
      <c r="T30" s="204" t="n">
        <f aca="false">VLOOKUP($R30,$AI$30:$AR$33,3,0)</f>
        <v>3</v>
      </c>
      <c r="U30" s="204" t="n">
        <f aca="false">VLOOKUP($R30,$AI$30:$AR$33,4,0)</f>
        <v>2</v>
      </c>
      <c r="V30" s="204" t="n">
        <f aca="false">VLOOKUP($R30,$AI$30:$AR$33,5,0)</f>
        <v>0</v>
      </c>
      <c r="W30" s="204" t="n">
        <f aca="false">VLOOKUP($R30,$AI$30:$AR$33,6,0)</f>
        <v>1</v>
      </c>
      <c r="X30" s="204" t="n">
        <f aca="false">VLOOKUP($R30,$AI$30:$AR$33,7,0)</f>
        <v>6</v>
      </c>
      <c r="Y30" s="204" t="n">
        <f aca="false">VLOOKUP($R30,$AI$30:$AR$33,8,0)</f>
        <v>3</v>
      </c>
      <c r="Z30" s="205" t="n">
        <f aca="false">VLOOKUP($R30,$AI$30:$AR$33,9,0)</f>
        <v>3</v>
      </c>
      <c r="AA30" s="67" t="n">
        <f aca="false">IF(SUM($AK$30:$AK$33)=12,MIN(ABS(BY29-BY30),ABS(BY30-BY31)),100)</f>
        <v>23000000.0299997</v>
      </c>
      <c r="AB30" s="68" t="str">
        <f aca="false">IF(AND(AA30&gt;=0,AA30&lt;90),VLOOKUP(Q30,$BU$30:$BV$33,2,0),"")</f>
        <v/>
      </c>
      <c r="AC30" s="69"/>
      <c r="AD30" s="70"/>
      <c r="AE30" s="71"/>
      <c r="AF30" s="24" t="n">
        <f aca="false">VLOOKUP($R30,$AI$30:$AR$33,10,0)</f>
        <v>6687210499.87</v>
      </c>
      <c r="AG30" s="11" t="n">
        <f aca="false">RANK(AU30,$AU$30:$AU$33)</f>
        <v>1</v>
      </c>
      <c r="AH30" s="11" t="n">
        <f aca="false">RANK(AR30,$AR$30:$AR$33)</f>
        <v>1</v>
      </c>
      <c r="AI30" s="10" t="str">
        <f aca="false">A29</f>
        <v>Francia</v>
      </c>
      <c r="AJ30" s="11" t="n">
        <f aca="false">AL30*3+AM30*1+AN30*0</f>
        <v>6</v>
      </c>
      <c r="AK30" s="11" t="n">
        <f aca="false">COUNTIFS($I$4:$I$65,AI30,$K$4:$K$65,"&lt;&gt;",$L$4:$L$65,"&lt;&gt;")+COUNTIFS($N$4:$N$65,AI30,$L$4:$L$65,"&lt;&gt;",$K$4:$K$65,"&lt;&gt;")</f>
        <v>3</v>
      </c>
      <c r="AL30" s="11" t="n">
        <f aca="false" t="array" ref="AL30:AL30">SUM(($I$4:$I$65=AI30)*($K$4:$K$65&lt;&gt;"")*($L$4:$L$65&lt;&gt;"")*($K$4:$K$65&gt;$L$4:$L$65),($N$4:$N$65=AI30)*($K$4:$K$65&lt;&gt;"")*($L$4:$L$65&lt;&gt;"")*($K$4:$K$65&lt;$L$4:$L$65))</f>
        <v>2</v>
      </c>
      <c r="AM30" s="11" t="n">
        <f aca="false" t="array" ref="AM30:AM30">SUM(($I$4:$I$65=AI30)*($K$4:$K$65&lt;&gt;"")*($L$4:$L$65&lt;&gt;"")*($K$4:$K$65=$L$4:$L$65),($N$4:$N$65=AI30)*($K$4:$K$65&lt;&gt;"")*($L$4:$L$65&lt;&gt;"")*($K$4:$K$65=$L$4:$L$65))</f>
        <v>0</v>
      </c>
      <c r="AN30" s="11" t="n">
        <f aca="false" t="array" ref="AN30:AN30">SUM(($I$4:$I$65=AI30)*($L$4:$L$65&lt;&gt;"")*($K$4:$K$65&lt;&gt;"")*($K$4:$K$65&lt;$L$4:$L$65),($K$4:$K$65&lt;&gt;"")*($N$4:$N$65=AI30)*($L$4:$L$65&lt;&gt;"")*($K$4:$K$65&gt;$L$4:$L$65))</f>
        <v>1</v>
      </c>
      <c r="AO30" s="11" t="n">
        <f aca="false" t="array" ref="AO30:AO30">SUMIFS($K$4:$K$65,$I$4:$I$65,AI30,$K$4:$K$65,"&lt;&gt;",$L$4:$L$65,"&lt;&gt;")+SUMIFS($L$4:$L$65,$N$4:$N$65,AI30,$K$4:$K$65,"&lt;&gt;",$L$4:$L$65,"&lt;&gt;")</f>
        <v>6</v>
      </c>
      <c r="AP30" s="11" t="n">
        <f aca="false" t="array" ref="AP30:AP30">SUMIFS($K$4:$K$65,$N$4:$N$65,AI30,$K$4:$K$65,"&lt;&gt;",$L$4:$L$65,"&lt;&gt;")+SUMIFS($L$4:$L$65,$I$4:$I$65,AI30,$K$4:$K$65,"&lt;&gt;",$L$4:$L$65,"&lt;&gt;")</f>
        <v>3</v>
      </c>
      <c r="AQ30" s="11" t="n">
        <f aca="false">AO30-AP30</f>
        <v>3</v>
      </c>
      <c r="AR30" s="11" t="n">
        <f aca="false">IF(AK30=0,-($AW$11*VLOOKUP(AI30,Tabla3[[NombreEquipo]:[Rank]],3,0)),AJ30*$AW$4+AQ30*$AW$5+AO30*$AW$6+BA30-($AW$11*VLOOKUP(AI30,Tabla3[[NombreEquipo]:[Rank]],3,0)/100))</f>
        <v>6687210499.87</v>
      </c>
      <c r="AS30" s="11" t="n">
        <f aca="false">AH30</f>
        <v>1</v>
      </c>
      <c r="AU30" s="11" t="n">
        <f aca="false">IFERROR(AR30-VLOOKUP(AI30,$AB$30:$AC$33,2,0),AR30)</f>
        <v>6687210499.87</v>
      </c>
      <c r="AW30" s="31"/>
      <c r="AY30" s="72" t="str">
        <f aca="false">AI30</f>
        <v>Francia</v>
      </c>
      <c r="AZ30" s="11" t="n">
        <f aca="false">COUNTIF(AJ30:AJ33,AJ30)</f>
        <v>2</v>
      </c>
      <c r="BA30" s="11" t="n">
        <f aca="false">(BB30*$AW$9)+(BH30*$AW$8)+(BN30*$AW$7)</f>
        <v>210500</v>
      </c>
      <c r="BB30" s="73" t="n">
        <f aca="false">RANK(BC30,BC30:BC33,1)</f>
        <v>1</v>
      </c>
      <c r="BC30" s="73" t="n">
        <f aca="false">SUM(IF(AND(AJ30=AJ31,AQ30=AQ31,AO30=AO31),BE30,0),IF(AND(AJ30=AJ32,AQ30=AQ32,AO30=AO32),BF30,0),IF(AND(AJ30=AJ33,AQ30=AQ33,AO30=AO33),BG30,0))</f>
        <v>0</v>
      </c>
      <c r="BD30" s="73" t="n">
        <v>0</v>
      </c>
      <c r="BE30" s="73" t="n">
        <f aca="false" t="array" ref="BE30:BE30">SUMIFS($K$28:$K$33,$I$28:$I$33,$AY30,$K$28:$K$33,"&lt;&gt;",$L$28:$L$33,"&lt;&gt;",$N$28:$N$33,BE29)+SUMIFS($L$28:$L$33,$I$28:$I$33,BE29,$K$28:$K$33,"&lt;&gt;",$L$28:$L$33,"&lt;&gt;",$N$28:$N$33,$AY30)</f>
        <v>2</v>
      </c>
      <c r="BF30" s="73" t="n">
        <f aca="false" t="array" ref="BF30:BF30">SUMIFS($K$28:$K$33,$I$28:$I$33,$AY30,$K$28:$K$33,"&lt;&gt;",$L$28:$L$33,"&lt;&gt;",$N$28:$N$33,BF29)+SUMIFS($L$28:$L$33,$I$28:$I$33,BF29,$K$28:$K$33,"&lt;&gt;",$L$28:$L$33,"&lt;&gt;",$N$28:$N$33,$AY30)</f>
        <v>0</v>
      </c>
      <c r="BG30" s="73" t="n">
        <f aca="false" t="array" ref="BG30:BG30">SUMIFS($K$28:$K$33,$I$28:$I$33,$AY30,$K$28:$K$33,"&lt;&gt;",$L$28:$L$33,"&lt;&gt;",$N$28:$N$33,BG29)+SUMIFS($L$28:$L$33,$I$28:$I$33,BG29,$K$28:$K$33,"&lt;&gt;",$L$28:$L$33,"&lt;&gt;",$N$28:$N$33,$AY30)</f>
        <v>4</v>
      </c>
      <c r="BH30" s="73" t="n">
        <f aca="false">RANK(BI30,BI30:BI33,1)</f>
        <v>1</v>
      </c>
      <c r="BI30" s="73" t="n">
        <f aca="false">SUM(IF(AND(AJ30=AJ31,AQ30=AQ31,AO30=AO31),BK30,0),IF(AND(AJ30=AJ32,AQ30=AQ32,AO30=AO32),BL30,0),IF(AND(AJ30=AJ33,AQ30=AQ33,AO30=AO33),BM30,0))</f>
        <v>0</v>
      </c>
      <c r="BJ30" s="73" t="n">
        <v>0</v>
      </c>
      <c r="BK30" s="73" t="n">
        <f aca="false">BE30-BD31</f>
        <v>1</v>
      </c>
      <c r="BL30" s="73" t="n">
        <f aca="false">BF30-BD32</f>
        <v>-1</v>
      </c>
      <c r="BM30" s="73" t="n">
        <f aca="false">BG30-BD33</f>
        <v>3</v>
      </c>
      <c r="BN30" s="73" t="n">
        <f aca="false">RANK(BO30,BO30:BO33,1)</f>
        <v>1</v>
      </c>
      <c r="BO30" s="73" t="n">
        <f aca="false">SUM(IF(AND(AJ30=AJ31,AQ30=AQ31,AO30=AO31),BQ30,0),IF(AND(AJ30=AJ32,AQ30=AQ32,AO30=AO32),BR30,0),IF(AND(AJ30=AJ33,AQ30=AQ33,AO30=AO33),BS30,0))</f>
        <v>0</v>
      </c>
      <c r="BP30" s="73" t="n">
        <v>0</v>
      </c>
      <c r="BQ30" s="73" t="n">
        <f aca="false" t="array" ref="BQ30:BQ30">SUM((I$4:I$49=AY30)*(N$4:N$49=BQ29)*(K$4:K$49&lt;&gt;"")*(L$4:L$49&lt;&gt;"")*(K$4:K$49&gt;L$4:L$49)*3,(N$4:N$49=AY30)*(I$4:I$49=BQ29)*(K$4:K$49&lt;&gt;"")*(L$4:L$49&lt;&gt;"")*(K$4:K$49=L$4:L$49)*1,(N$4:N$49=AY30)*(I$4:I$49=BQ29)*(K$4:K$49&lt;&gt;"")*(L$4:L$49&lt;&gt;"")*(K$4:K$49&lt;L$4:L$49)*3,(I$4:I$49=AY30)*(N$4:N$49=BQ29)*(K$4:K$49&lt;&gt;"")*(L$4:L$49&lt;&gt;"")*(K$4:K$49=L$4:L$49)*1)</f>
        <v>3</v>
      </c>
      <c r="BR30" s="73" t="n">
        <f aca="false" t="array" ref="BR30:BR30">SUM((I$4:I$49=AY30)*(N$4:N$49=BR29)*(K$4:K$49&lt;&gt;"")*(L$4:L$49&lt;&gt;"")*(K$4:K$49&gt;L$4:L$49)*3,(N$4:N$49=AY30)*(I$4:I$49=BR29)*(K$4:K$49&lt;&gt;"")*(L$4:L$49&lt;&gt;"")*(K$4:K$49=L$4:L$49)*1,(N$4:N$49=AY30)*(I$4:I$49=BR29)*(K$4:K$49&lt;&gt;"")*(L$4:L$49&lt;&gt;"")*(K$4:K$49&lt;L$4:L$49)*3,(I$4:I$49=AY30)*(N$4:N$49=BR29)*(K$4:K$49&lt;&gt;"")*(L$4:L$49&lt;&gt;"")*(K$4:K$49=L$4:L$49)*1)</f>
        <v>0</v>
      </c>
      <c r="BS30" s="73" t="n">
        <f aca="false" t="array" ref="BS30:BS30">SUM((I$4:I$49=AY30)*(N$4:N$49=BS29)*(K$4:K$49&lt;&gt;"")*(L$4:L$49&lt;&gt;"")*(K$4:K$49&gt;L$4:L$49)*3,(N$4:N$49=AY30)*(I$4:I$49=BS29)*(K$4:K$49&lt;&gt;"")*(L$4:L$49&lt;&gt;"")*(K$4:K$49=L$4:L$49)*1,(N$4:N$49=AY30)*(I$4:I$49=BS29)*(K$4:K$49&lt;&gt;"")*(L$4:L$49&lt;&gt;"")*(K$4:K$49&lt;L$4:L$49)*3,(I$4:I$49=AY30)*(N$4:N$49=BS29)*(K$4:K$49&lt;&gt;"")*(L$4:L$49&lt;&gt;"")*(K$4:K$49=L$4:L$49)*1)</f>
        <v>3</v>
      </c>
      <c r="BT30" s="10" t="n">
        <v>1</v>
      </c>
      <c r="BU30" s="10" t="n">
        <f aca="false">RANK(BW30,$BW$30:$BW$33)</f>
        <v>1</v>
      </c>
      <c r="BV30" s="10" t="str">
        <f aca="false">A29</f>
        <v>Francia</v>
      </c>
      <c r="BW30" s="10" t="n">
        <f aca="false">IF(AK30=0,-($AW$11*VLOOKUP(AI30,Tabla3[[NombreEquipo]:[Rank]],3,0)),AJ30*$AW$4+BA30+AQ30*$AW$8+AO30*$AW$9+AL30*$AW$10-($AW$11*VLOOKUP(AI30,Tabla3[[NombreEquipo]:[Rank]],3,0)/100))</f>
        <v>6666243699.87</v>
      </c>
      <c r="BX30" s="10" t="str">
        <f aca="false">VLOOKUP(Q30,$AH$30:$AI$33,2,0)</f>
        <v>Francia</v>
      </c>
      <c r="BY30" s="10" t="n">
        <f aca="false">VLOOKUP($BX30,$AI$30:$AR$33,10,0)</f>
        <v>6687210499.87</v>
      </c>
      <c r="BZ30" s="10"/>
      <c r="CA30" s="10" t="n">
        <v>1</v>
      </c>
      <c r="CB30" s="10" t="str">
        <f aca="false">VLOOKUP(CA30,$AH$30:$AI$33,2,0)</f>
        <v>Francia</v>
      </c>
      <c r="CC30" s="10" t="n">
        <f aca="false">VLOOKUP(CB30,$AI$30:$AR$33,2,0)</f>
        <v>6</v>
      </c>
      <c r="CD30" s="74" t="n">
        <f aca="false">IF(SUM($AK$30:$AK$33)=12,MIN(ABS(BY29-BY30),ABS(BY30-BY31)),100)</f>
        <v>23000000.0299997</v>
      </c>
      <c r="CE30" s="10" t="n">
        <f aca="false">VLOOKUP($CB30,$AI$30:$AR$33,9,0)</f>
        <v>3</v>
      </c>
      <c r="CF30" s="10" t="n">
        <f aca="false">VLOOKUP($CB30,$AI$30:$AR$33,7,0)</f>
        <v>6</v>
      </c>
      <c r="CG30" s="10"/>
      <c r="CH30" s="10" t="n">
        <f aca="false" t="array" ref="CH30:CH30">IF($CI$30=$CL$29,$EC$29:$EC$32,IF($CI$30=$CM$29,$ED$29:$ED$31,IF(OR($CI$30=$CN$29,$CI$30=$CO$29),$EE$29:$EE$30,$EI$29)))</f>
        <v>1</v>
      </c>
      <c r="CI30" s="11" t="str">
        <f aca="false">IFERROR(HLOOKUP(4,CL28:DI29,2,0),CS29)</f>
        <v>COM_8</v>
      </c>
      <c r="CK30" s="11" t="n">
        <v>1</v>
      </c>
      <c r="CL30" s="11" t="n">
        <f aca="false" t="array" ref="CL30:CL30">IF(AND($CC$30:$CC$33=$CC$30,$CD$30:$CD$33&lt;90,$AQ$30:$AQ$33=$AQ$30,$CF$30:$CF$33=$CF$30),1,0)</f>
        <v>0</v>
      </c>
      <c r="CM30" s="11" t="n">
        <f aca="false" t="array" ref="CM30:CM30">IF(AND($CC$30:$CC$32=$CC$30,$CD$30:$CD$32&lt;90,$CC$30&lt;&gt;$CC$33),1,0)</f>
        <v>0</v>
      </c>
      <c r="CN30" s="11" t="n">
        <f aca="false" t="array" ref="CN30:CN30">IF(AND($CC$30:$CC$31=$CC$30,$CD$30:$CD$31&lt;90,$CC$30&lt;&gt;$CC$32),1,0)</f>
        <v>0</v>
      </c>
      <c r="CO30" s="11" t="n">
        <f aca="false" t="array" ref="CO30:CO30">IF(AND($CC$30:$CC$31=$CC$30,$CD$30:$CD$31&lt;90,$CC$30&lt;&gt;$CC$32),1,0)</f>
        <v>0</v>
      </c>
      <c r="CP30" s="11" t="n">
        <f aca="false" t="array" ref="CP30:CP30">IF(AND($CC$31:$CC$33=$CC$31,$CD$31:$CD$33&lt;90,$CC$30&lt;&gt;$CC$31),1,0)</f>
        <v>0</v>
      </c>
      <c r="CQ30" s="11" t="n">
        <f aca="false" t="array" ref="CQ30:CQ30">IF(AND($CC$30&lt;&gt;$CC$31,$CC$30&lt;&gt;$CC$33),1,0)</f>
        <v>0</v>
      </c>
      <c r="CR30" s="11" t="n">
        <f aca="false" t="array" ref="CR30:CR30">IF(AND($CC$30&lt;&gt;$CC$31,$CC$30&lt;&gt;$CC$33),1,0)</f>
        <v>0</v>
      </c>
      <c r="CS30" s="11" t="n">
        <f aca="false" t="array" ref="CS30:CS30">IF(AND($CC$30&lt;&gt;$CC$31,$CC$30&lt;&gt;$CC$33),1,0)</f>
        <v>0</v>
      </c>
      <c r="CT30" s="11" t="n">
        <f aca="false" t="array" ref="CT30:CT30">IF(AND($CC$30:$CC$33=$CC$30,$CD$30:$CD$33&lt;90,$CE$30:$CE$31=$CE$30,$CE$30&lt;&gt;$CE$32),1,0)</f>
        <v>0</v>
      </c>
      <c r="CU30" s="11" t="n">
        <f aca="false" t="array" ref="CU30:CU30">IF(AND($CC$30:$CC$33=$CC$30,$CD$30:$CD$33&lt;90,$CE$30:$CE$33=$CE$30,$CF$30=$CF$31,$CF$30&lt;&gt;$CF$32),1,0)</f>
        <v>0</v>
      </c>
      <c r="CV30" s="11" t="n">
        <f aca="false" t="array" ref="CV30:CV30">IF(AND($CC$30:$CC$32=$CC$30,$CD$30:$CD$31&lt;90,$CD$32&gt;90),1,0)</f>
        <v>0</v>
      </c>
      <c r="CW30" s="11" t="n">
        <f aca="false" t="array" ref="CW30:CW30">IF(AND($CC$30&lt;&gt;$CC$31,$CC$30&lt;&gt;$CC$32),1,0)</f>
        <v>0</v>
      </c>
      <c r="CX30" s="11" t="n">
        <f aca="false" t="array" ref="CX30:CX30">IF(AND($CC$30&lt;&gt;$CC$31,$CC$30&lt;&gt;$CC$32),1,0)</f>
        <v>0</v>
      </c>
      <c r="CY30" s="11" t="n">
        <f aca="false" t="array" ref="CY30:CY30">IF(AND($CC$30&lt;&gt;$CC$33,$CC$30:$CC$32=$CC$30,$CD$30&gt;90,$CD$31:$CD$32&lt;90),1,0)</f>
        <v>0</v>
      </c>
      <c r="CZ30" s="11" t="n">
        <f aca="false" t="array" ref="CZ30:CZ30">IF(AND($CC$30:$CC$33=$CC$30,$CD$31:$CD$33&lt;90,$CD$30&lt;&gt;$CD$31),1,0)</f>
        <v>0</v>
      </c>
      <c r="DA30" s="11" t="n">
        <f aca="false" t="array" ref="DA30:DA30">IF(AND($CC$30:$CC$33=$CC$30,$CD$30:$CD$32&lt;90,$CD$30&lt;&gt;$CD$33),1,0)</f>
        <v>0</v>
      </c>
      <c r="DB30" s="11" t="n">
        <f aca="false" t="array" ref="DB30:DB30">IF(AND($CC$30:$CC$33=$CC$30,$CD$30:$CD$31&gt;90,$CD$32:$CD$33&lt;90,$CE$30:$CE$33=$CE$30,$CF$30&gt;$CF$31,$CF$30&gt;$CF$32,$CF$30&gt;$CF$33),1,0)</f>
        <v>0</v>
      </c>
      <c r="DC30" s="11" t="n">
        <f aca="false" t="array" ref="DC30:DC30">IF(AND($CC$30:$CC$33=$CC$30,$CD$30&gt;90,$CD$31:$CD$32&lt;90,$CD$33&gt;90,$CE$30:$CE$33=$CE$30,$CF$30&gt;$CF$31,$CF$30&gt;$CF$32,$CF$30&gt;$CF$33),1,0)</f>
        <v>0</v>
      </c>
      <c r="DD30" s="11" t="n">
        <f aca="false" t="array" ref="DD30:DD30">IF(AND($CC$30:$CC$33=$CC$30,$CD$30:$CD$31&lt;90,$CD$32:$CD$33&gt;90,$CE$30:$CE$33=$CE$30,$CF$30=$CF$31,$CF$30&gt;$CF$32,$CF$30&gt;$CF$33),1,0)</f>
        <v>0</v>
      </c>
      <c r="DE30" s="11" t="n">
        <f aca="false" t="array" ref="DE30:DE30">IF(AND($CC$30:$CC$33=$CC$30,$CD$30:$CD$31&gt;90,$CD$32:$CD$33&lt;90,$CE$30:$CE$33=$CE$30,$CF$30&gt;$CF$31,$CF$31:$CF$33=$CF$31),1,0)</f>
        <v>0</v>
      </c>
      <c r="DF30" s="11" t="n">
        <f aca="false" t="array" ref="DF30:DF30">IF(AND($CC$30:$CC$33=$CC$30,$CD$30:$CD$31&lt;90,$CD$32:$CD$33&gt;90,$CE$30:$CE$33=$CE$30,$CF$30:$CF$32=$CF$30,$CF$30&gt;$CF$33),1,0)</f>
        <v>0</v>
      </c>
      <c r="DG30" s="11" t="n">
        <f aca="false" t="array" ref="DG30:DG30">IF(AND($CC$30:$CC$33=$CC$30,$CD$30&gt;90,$CD$33&gt;90,$CD$31:$CD$32&lt;90,$CE$30:$CE$33=$CE$30,$CF$30&gt;$CF$31:$CF$33),1,0)</f>
        <v>0</v>
      </c>
      <c r="EC30" s="10" t="n">
        <v>2</v>
      </c>
      <c r="ED30" s="10" t="n">
        <v>2</v>
      </c>
      <c r="EE30" s="10" t="n">
        <v>2</v>
      </c>
      <c r="EF30" s="10" t="n">
        <v>3</v>
      </c>
      <c r="EG30" s="10" t="n">
        <v>4</v>
      </c>
      <c r="EH30" s="10" t="n">
        <v>3</v>
      </c>
      <c r="EI30" s="10"/>
      <c r="EJ30" s="10"/>
      <c r="EK30" s="10"/>
      <c r="EL30" s="10"/>
      <c r="FI30" s="73"/>
      <c r="FK30" s="73"/>
      <c r="FM30" s="73"/>
    </row>
    <row r="31" s="11" customFormat="true" ht="15" hidden="false" customHeight="false" outlineLevel="0" collapsed="false">
      <c r="A31" s="32" t="str">
        <f aca="true" t="array" ref="A31:A31">IF(ROWS(A$29:A31)&lt;=$C$28,INDEX(INDIRECT(A$28),SMALL(IF(Nivell=$B$28,ROW(Nivell)-ROW(Equipos!$C$2)+1),ROWS(B$28:B30))),"")</f>
        <v>Túnez</v>
      </c>
      <c r="B31" s="33"/>
      <c r="C31" s="75"/>
      <c r="D31" s="35"/>
      <c r="E31" s="182"/>
      <c r="F31" s="191" t="n">
        <f aca="false">Horarios!C31</f>
        <v>44891.7916666667</v>
      </c>
      <c r="G31" s="192" t="n">
        <f aca="false">Horarios!C31</f>
        <v>44891.7916666667</v>
      </c>
      <c r="H31" s="191" t="s">
        <v>74</v>
      </c>
      <c r="I31" s="193" t="str">
        <f aca="false">A29</f>
        <v>Francia</v>
      </c>
      <c r="J31" s="194" t="str">
        <f aca="false">VLOOKUP(I31,Equipos!$H$2:$I$33,2,0)</f>
        <v>🇫🇷</v>
      </c>
      <c r="K31" s="195" t="n">
        <v>2</v>
      </c>
      <c r="L31" s="195" t="n">
        <v>1</v>
      </c>
      <c r="M31" s="196" t="str">
        <f aca="false">VLOOKUP(N31,Equipos!$H$2:$I$33,2,0)</f>
        <v>🇩🇰</v>
      </c>
      <c r="N31" s="197" t="str">
        <f aca="false">A30</f>
        <v>Dinamarca</v>
      </c>
      <c r="O31" s="44" t="n">
        <f aca="false">IF(NOT(OR(ISBLANK(K31),ISBLANK(L31))),1,0)</f>
        <v>1</v>
      </c>
      <c r="P31" s="45"/>
      <c r="Q31" s="206" t="n">
        <v>2</v>
      </c>
      <c r="R31" s="77" t="str">
        <f aca="false">VLOOKUP(Q31,$AG$30:$AI$33,3,0)</f>
        <v>Australia</v>
      </c>
      <c r="S31" s="78" t="n">
        <f aca="false">VLOOKUP(R31,$AI$30:$AR$33,2,0)</f>
        <v>6</v>
      </c>
      <c r="T31" s="78" t="n">
        <f aca="false">VLOOKUP($R31,$AI$30:$AR$33,3,0)</f>
        <v>3</v>
      </c>
      <c r="U31" s="78" t="n">
        <f aca="false">VLOOKUP($R31,$AI$30:$AR$33,4,0)</f>
        <v>2</v>
      </c>
      <c r="V31" s="78" t="n">
        <f aca="false">VLOOKUP($R31,$AI$30:$AR$33,5,0)</f>
        <v>0</v>
      </c>
      <c r="W31" s="78" t="n">
        <f aca="false">VLOOKUP($R31,$AI$30:$AR$33,6,0)</f>
        <v>1</v>
      </c>
      <c r="X31" s="78" t="n">
        <f aca="false">VLOOKUP($R31,$AI$30:$AR$33,7,0)</f>
        <v>3</v>
      </c>
      <c r="Y31" s="78" t="n">
        <f aca="false">VLOOKUP($R31,$AI$30:$AR$33,8,0)</f>
        <v>4</v>
      </c>
      <c r="Z31" s="207" t="n">
        <f aca="false">VLOOKUP($R31,$AI$30:$AR$33,9,0)</f>
        <v>-1</v>
      </c>
      <c r="AA31" s="67" t="n">
        <f aca="false">IF(SUM($AK$30:$AK$33)=12,MIN(ABS(BY30-BY31),ABS(BY31-BY32)),100)</f>
        <v>23000000.0299997</v>
      </c>
      <c r="AB31" s="68" t="str">
        <f aca="false">IF(AND(AA31&gt;=0,AA31&lt;90),VLOOKUP(Q31,$BU$30:$BV$33,2,0),"")</f>
        <v/>
      </c>
      <c r="AC31" s="69"/>
      <c r="AD31" s="70"/>
      <c r="AE31" s="71"/>
      <c r="AF31" s="24" t="n">
        <f aca="false">VLOOKUP($R31,$AI$30:$AR$33,10,0)</f>
        <v>6664210499.84</v>
      </c>
      <c r="AG31" s="11" t="n">
        <f aca="false">RANK(AU31,$AU$30:$AU$33)</f>
        <v>4</v>
      </c>
      <c r="AH31" s="11" t="n">
        <f aca="false">RANK(AR31,$AR$30:$AR$33)</f>
        <v>4</v>
      </c>
      <c r="AI31" s="10" t="str">
        <f aca="false">A30</f>
        <v>Dinamarca</v>
      </c>
      <c r="AJ31" s="11" t="n">
        <f aca="false">AL31*3+AM31*1+AN31*0</f>
        <v>1</v>
      </c>
      <c r="AK31" s="11" t="n">
        <f aca="false">COUNTIFS($I$4:$I$65,AI31,$K$4:$K$65,"&lt;&gt;",$L$4:$L$65,"&lt;&gt;")+COUNTIFS($N$4:$N$65,AI31,$L$4:$L$65,"&lt;&gt;",$K$4:$K$65,"&lt;&gt;")</f>
        <v>3</v>
      </c>
      <c r="AL31" s="11" t="n">
        <f aca="false" t="array" ref="AL31:AL31">SUM(($I$4:$I$65=AI31)*($K$4:$K$65&lt;&gt;"")*($L$4:$L$65&lt;&gt;"")*($K$4:$K$65&gt;$L$4:$L$65),($N$4:$N$65=AI31)*($K$4:$K$65&lt;&gt;"")*($L$4:$L$65&lt;&gt;"")*($K$4:$K$65&lt;$L$4:$L$65))</f>
        <v>0</v>
      </c>
      <c r="AM31" s="11" t="n">
        <f aca="false" t="array" ref="AM31:AM31">SUM(($I$4:$I$65=AI31)*($K$4:$K$65&lt;&gt;"")*($L$4:$L$65&lt;&gt;"")*($K$4:$K$65=$L$4:$L$65),($N$4:$N$65=AI31)*($K$4:$K$65&lt;&gt;"")*($L$4:$L$65&lt;&gt;"")*($K$4:$K$65=$L$4:$L$65))</f>
        <v>1</v>
      </c>
      <c r="AN31" s="11" t="n">
        <f aca="false" t="array" ref="AN31:AN31">SUM(($I$4:$I$65=AI31)*($L$4:$L$65&lt;&gt;"")*($K$4:$K$65&lt;&gt;"")*($K$4:$K$65&lt;$L$4:$L$65),($K$4:$K$65&lt;&gt;"")*($N$4:$N$65=AI31)*($L$4:$L$65&lt;&gt;"")*($K$4:$K$65&gt;$L$4:$L$65))</f>
        <v>2</v>
      </c>
      <c r="AO31" s="11" t="n">
        <f aca="false" t="array" ref="AO31:AO31">SUMIFS($K$4:$K$65,$I$4:$I$65,AI31,$K$4:$K$65,"&lt;&gt;",$L$4:$L$65,"&lt;&gt;")+SUMIFS($L$4:$L$65,$N$4:$N$65,AI31,$K$4:$K$65,"&lt;&gt;",$L$4:$L$65,"&lt;&gt;")</f>
        <v>1</v>
      </c>
      <c r="AP31" s="11" t="n">
        <f aca="false" t="array" ref="AP31:AP31">SUMIFS($K$4:$K$65,$N$4:$N$65,AI31,$K$4:$K$65,"&lt;&gt;",$L$4:$L$65,"&lt;&gt;")+SUMIFS($L$4:$L$65,$I$4:$I$65,AI31,$K$4:$K$65,"&lt;&gt;",$L$4:$L$65,"&lt;&gt;")</f>
        <v>3</v>
      </c>
      <c r="AQ31" s="11" t="n">
        <f aca="false">AO31-AP31</f>
        <v>-2</v>
      </c>
      <c r="AR31" s="11" t="n">
        <f aca="false">IF(AK31=0,-($AW$11*VLOOKUP(AI31,Tabla3[[NombreEquipo]:[Rank]],3,0)),AJ31*$AW$4+AQ31*$AW$5+AO31*$AW$6+BA31-($AW$11*VLOOKUP(AI31,Tabla3[[NombreEquipo]:[Rank]],3,0)/100))</f>
        <v>1102210499.86</v>
      </c>
      <c r="AS31" s="11" t="n">
        <f aca="false">AH31</f>
        <v>4</v>
      </c>
      <c r="AU31" s="11" t="n">
        <f aca="false">IFERROR(AR31-VLOOKUP(AI31,$AB$30:$AC$33,2,0),AR31)</f>
        <v>1102210499.86</v>
      </c>
      <c r="AW31" s="31"/>
      <c r="AY31" s="72" t="str">
        <f aca="false">AI31</f>
        <v>Dinamarca</v>
      </c>
      <c r="AZ31" s="11" t="n">
        <f aca="false">COUNTIF(AJ30:AJ33,AJ31)</f>
        <v>1</v>
      </c>
      <c r="BA31" s="11" t="n">
        <f aca="false">(BB31*$AW$9)+(BH31*$AW$8)+(BN31*$AW$7)</f>
        <v>210500</v>
      </c>
      <c r="BB31" s="73" t="n">
        <f aca="false">RANK(BC31,BC30:BC33,1)</f>
        <v>1</v>
      </c>
      <c r="BC31" s="73" t="n">
        <f aca="false">SUM(IF(AND(AJ31=AJ32,AQ31=AQ32,AO31=AO32),BF31,0),IF(AND(AJ31=AJ33,AQ31=AQ33,AO31=AO33),BG31,0),IF(AND(AJ31=AJ30,AQ31=AQ30,AO31=AO30),BD31,0))</f>
        <v>0</v>
      </c>
      <c r="BD31" s="73" t="n">
        <f aca="false" t="array" ref="BD31:BD31">SUMIFS($K$28:$K$33,$I$28:$I$33,$AY31,$K$28:$K$33,"&lt;&gt;",$L$28:$L$33,"&lt;&gt;",$N$28:$N$33,BD29)+SUMIFS($L$28:$L$33,$I$28:$I$33,BD29,$K$28:$K$33,"&lt;&gt;",$L$28:$L$33,"&lt;&gt;",$N$28:$N$33,$AY31)</f>
        <v>1</v>
      </c>
      <c r="BE31" s="73" t="n">
        <v>0</v>
      </c>
      <c r="BF31" s="73" t="n">
        <f aca="false" t="array" ref="BF31:BF31">SUMIFS($K$28:$K$33,$I$28:$I$33,$AY31,$K$28:$K$33,"&lt;&gt;",$L$28:$L$33,"&lt;&gt;",$N$28:$N$33,BF29)+SUMIFS($L$28:$L$33,$I$28:$I$33,BF29,$K$28:$K$33,"&lt;&gt;",$L$28:$L$33,"&lt;&gt;",$N$28:$N$33,$AY31)</f>
        <v>0</v>
      </c>
      <c r="BG31" s="73" t="n">
        <f aca="false" t="array" ref="BG31:BG31">SUMIFS($K$28:$K$33,$I$28:$I$33,$AY31,$K$28:$K$33,"&lt;&gt;",$L$28:$L$33,"&lt;&gt;",$N$28:$N$33,BG29)+SUMIFS($L$28:$L$33,$I$28:$I$33,BG29,$K$28:$K$33,"&lt;&gt;",$L$28:$L$33,"&lt;&gt;",$N$28:$N$33,$AY31)</f>
        <v>0</v>
      </c>
      <c r="BH31" s="73" t="n">
        <f aca="false">RANK(BI31,BI30:BI33,1)</f>
        <v>1</v>
      </c>
      <c r="BI31" s="73" t="n">
        <f aca="false">SUM(IF(AND(AJ31=AJ32,AQ31=AQ32,AO31=AO32),BL31,0),IF(AND(AJ31=AJ33,AQ31=AQ33,AO31=AO33),BM31,0),IF(AND(AJ31=AJ30,AQ31=AQ30,AO31=AO30),BJ31,0))</f>
        <v>0</v>
      </c>
      <c r="BJ31" s="73" t="n">
        <f aca="false">BD31-BE30</f>
        <v>-1</v>
      </c>
      <c r="BK31" s="73" t="n">
        <v>0</v>
      </c>
      <c r="BL31" s="73" t="n">
        <f aca="false">BF31-BE32</f>
        <v>0</v>
      </c>
      <c r="BM31" s="73" t="n">
        <f aca="false">BG31-BE33</f>
        <v>-1</v>
      </c>
      <c r="BN31" s="73" t="n">
        <f aca="false">RANK(BO31,BO30:BO33,1)</f>
        <v>1</v>
      </c>
      <c r="BO31" s="73" t="n">
        <f aca="false">SUM(IF(AND(AJ31=AJ32,AQ31=AQ32,AO31=AO32),BR31,0),IF(AND(AJ31=AJ33,AQ31=AQ33,AO31=AO33),BS31,0),IF(AND(AJ31=AJ30,AQ31=AQ30,AO31=AO30),BP31,0))</f>
        <v>0</v>
      </c>
      <c r="BP31" s="73" t="n">
        <f aca="false" t="array" ref="BP31:BP31">SUM((I$4:I$49=AY31)*(N$4:N$49=BP29)*(K$4:K$49&lt;&gt;"")*(L$4:L$49&lt;&gt;"")*(K$4:K$49&gt;L$4:L$49)*3,(N$4:N$49=AY31)*(I$4:I$49=BP29)*(K$4:K$49&lt;&gt;"")*(L$4:L$49&lt;&gt;"")*(K$4:K$49=L$4:L$49)*1,(N$4:N$49=AY31)*(I$4:I$49=BP29)*(K$4:K$49&lt;&gt;"")*(L$4:L$49&lt;&gt;"")*(K$4:K$49&lt;L$4:L$49)*3,(I$4:I$49=AY31)*(N$4:N$49=BP29)*(K$4:K$49&lt;&gt;"")*(L$4:L$49&lt;&gt;"")*(K$4:K$49=L$4:L$49)*1)</f>
        <v>0</v>
      </c>
      <c r="BQ31" s="73" t="n">
        <v>0</v>
      </c>
      <c r="BR31" s="73" t="n">
        <f aca="false" t="array" ref="BR31:BR31">SUM((I$4:I$49=AY31)*(N$4:N$49=BR29)*(K$4:K$49&lt;&gt;"")*(L$4:L$49&lt;&gt;"")*(K$4:K$49&gt;L$4:L$49)*3,(N$4:N$49=AY31)*(I$4:I$49=BR29)*(K$4:K$49&lt;&gt;"")*(L$4:L$49&lt;&gt;"")*(K$4:K$49=L$4:L$49)*1,(N$4:N$49=AY31)*(I$4:I$49=BR29)*(K$4:K$49&lt;&gt;"")*(L$4:L$49&lt;&gt;"")*(K$4:K$49&lt;L$4:L$49)*3,(I$4:I$49=AY31)*(N$4:N$49=BR29)*(K$4:K$49&lt;&gt;"")*(L$4:L$49&lt;&gt;"")*(K$4:K$49=L$4:L$49)*1)</f>
        <v>1</v>
      </c>
      <c r="BS31" s="73" t="n">
        <f aca="false" t="array" ref="BS31:BS31">SUM((I$4:I$49=AY31)*(N$4:N$49=BS29)*(K$4:K$49&lt;&gt;"")*(L$4:L$49&lt;&gt;"")*(K$4:K$49&gt;L$4:L$49)*3,(N$4:N$49=AY31)*(I$4:I$49=BS29)*(K$4:K$49&lt;&gt;"")*(L$4:L$49&lt;&gt;"")*(K$4:K$49=L$4:L$49)*1,(N$4:N$49=AY31)*(I$4:I$49=BS29)*(K$4:K$49&lt;&gt;"")*(L$4:L$49&lt;&gt;"")*(K$4:K$49&lt;L$4:L$49)*3,(I$4:I$49=AY31)*(N$4:N$49=BS29)*(K$4:K$49&lt;&gt;"")*(L$4:L$49&lt;&gt;"")*(K$4:K$49=L$4:L$49)*1)</f>
        <v>0</v>
      </c>
      <c r="BT31" s="10" t="n">
        <v>2</v>
      </c>
      <c r="BU31" s="10" t="n">
        <f aca="false">RANK(BW31,$BW$30:$BW$33)</f>
        <v>4</v>
      </c>
      <c r="BV31" s="10" t="str">
        <f aca="false">A30</f>
        <v>Dinamarca</v>
      </c>
      <c r="BW31" s="10" t="n">
        <f aca="false">IF(AK31=0,-($AW$11*VLOOKUP(AI31,Tabla3[[NombreEquipo]:[Rank]],3,0)),AJ31*$AW$4+BA31+AQ31*$AW$8+AO31*$AW$9+AL31*$AW$10-($AW$11*VLOOKUP(AI31,Tabla3[[NombreEquipo]:[Rank]],3,0)/100))</f>
        <v>1111190999.86</v>
      </c>
      <c r="BX31" s="10" t="str">
        <f aca="false">VLOOKUP(Q31,$AH$30:$AI$33,2,0)</f>
        <v>Australia</v>
      </c>
      <c r="BY31" s="10" t="n">
        <f aca="false">VLOOKUP($BX31,$AI$30:$AR$33,10,0)</f>
        <v>6664210499.84</v>
      </c>
      <c r="BZ31" s="10"/>
      <c r="CA31" s="10" t="n">
        <v>2</v>
      </c>
      <c r="CB31" s="10" t="str">
        <f aca="false">VLOOKUP(CA31,$AH$30:$AI$33,2,0)</f>
        <v>Australia</v>
      </c>
      <c r="CC31" s="10" t="n">
        <f aca="false">VLOOKUP(CB31,$AI$30:$AR$33,2,0)</f>
        <v>6</v>
      </c>
      <c r="CD31" s="74" t="n">
        <f aca="false">IF(SUM($AK$30:$AK$33)=12,MIN(ABS(BY30-BY31),ABS(BY31-BY32)),100)</f>
        <v>23000000.0299997</v>
      </c>
      <c r="CE31" s="10" t="n">
        <f aca="false">VLOOKUP($CB31,$AI$30:$AR$33,9,0)</f>
        <v>-1</v>
      </c>
      <c r="CF31" s="10" t="n">
        <f aca="false">VLOOKUP($CB31,$AI$30:$AR$33,7,0)</f>
        <v>3</v>
      </c>
      <c r="CG31" s="10"/>
      <c r="CH31" s="10" t="n">
        <f aca="false" t="array" ref="CH31:CH31">IF($CI$30=$CL$29,$EC$29:$EC$32,IF($CI$30=$CM$29,$ED$29:$ED$31,IF(OR($CI$30=$CN$29,$CI$30=$CO$29),$EE$29:$EE$30,IF($CI$30=$CP$29,$EF$29:$EF$31,(IF($CI$30=$CQ$29,$EH$29:$EH$30,$EJ$29))))))</f>
        <v>2</v>
      </c>
      <c r="CK31" s="11" t="n">
        <v>2</v>
      </c>
      <c r="CL31" s="11" t="n">
        <f aca="false" t="array" ref="CL31:CL31">IF(AND($CC$30:$CC$33=$CC$31,$CD$30:$CD$33&lt;90,$AQ$30:$AQ$33=$AQ$31,$CF$30:$CF$33=$CF$31),1,0)</f>
        <v>0</v>
      </c>
      <c r="CM31" s="11" t="n">
        <f aca="false" t="array" ref="CM31:CM31">IF(AND($CC$30:$CC$32=$CC$31,$CD$30:$CD$32&lt;90,$CC$31&lt;&gt;$CC$33),1,0)</f>
        <v>0</v>
      </c>
      <c r="CN31" s="11" t="n">
        <f aca="false" t="array" ref="CN31:CN31">IF(AND($CC$30:$CC$31=$CC$30,$CD$30:$CD$31&lt;90,$CC$30&lt;&gt;$CC$32),1,0)</f>
        <v>0</v>
      </c>
      <c r="CO31" s="11" t="n">
        <f aca="false" t="array" ref="CO31:CO31">IF(AND($CC$30:$CC$31=$CC$30,$CD$30:$CD$31&lt;90,$CC$30&lt;&gt;$CC$32),1,0)</f>
        <v>0</v>
      </c>
      <c r="CP31" s="11" t="n">
        <f aca="false" t="array" ref="CP31:CP31">IF(AND($CC$31:$CC$33=$CC$31,$CD$31:$CD$33&lt;90,$CC$30&lt;&gt;$CC$31),1,0)</f>
        <v>0</v>
      </c>
      <c r="CQ31" s="11" t="n">
        <f aca="false" t="array" ref="CQ31:CQ31">IF(AND($CC$31:$CC$32=$CC$31,$CD$31:$CD$32&lt;90,$CC$31&lt;&gt;$CC$30,$CC$31&lt;&gt;$CC$33),1,0)</f>
        <v>0</v>
      </c>
      <c r="CR31" s="11" t="n">
        <f aca="false" t="array" ref="CR31:CR31">IF(AND($CC$31&lt;&gt;$CC$30,$CC$31&lt;&gt;$CC$32),1,0)</f>
        <v>0</v>
      </c>
      <c r="CS31" s="11" t="n">
        <f aca="false" t="array" ref="CS31:CS31">IF(AND($CC$31&lt;&gt;$CC$30,$CC$31&lt;&gt;$CC$32),1,0)</f>
        <v>0</v>
      </c>
      <c r="CT31" s="11" t="n">
        <f aca="false" t="array" ref="CT31:CT31">IF(AND($CC$30:$CC$33=$CC$30,$CD$30:$CD$33&lt;90,$CE$30:$CE$31=$CE$30,$CE$31&lt;&gt;$CE$32),1,0)</f>
        <v>0</v>
      </c>
      <c r="CU31" s="11" t="n">
        <f aca="false" t="array" ref="CU31:CU31">IF(AND($CC$30:$CC$33=$CC$30,$CD$30:$CD$33&lt;90,$CE$30:$CE$33=$CE$30,$CF$30=$CF$31,$CF$31&lt;&gt;$CF$32),1,0)</f>
        <v>0</v>
      </c>
      <c r="CV31" s="11" t="n">
        <f aca="false" t="array" ref="CV31:CV31">IF(AND($CC$30:$CC$32=$CC$31,$CD$30:$CD$31&lt;90,$CD$32&gt;90),1,0)</f>
        <v>0</v>
      </c>
      <c r="CW31" s="11" t="n">
        <f aca="false" t="array" ref="CW31:CW31">IF(AND($CC$31&lt;&gt;$CC$30,$CC$31:$CC$33=$CC$31,$CD$31&gt;90,$CD$32:$CD$33&lt;90),1,0)</f>
        <v>0</v>
      </c>
      <c r="CX31" s="11" t="n">
        <f aca="false" t="array" ref="CX31:CX31">IF(AND($CC$31&lt;&gt;$CC$30,$CC$31:$CC$33=$CC$31,$CD$33&gt;90,$CD$31:$CD$32&lt;90),1,0)</f>
        <v>0</v>
      </c>
      <c r="CY31" s="11" t="n">
        <f aca="false" t="array" ref="CY31:CY31">IF(AND($CC$31&lt;&gt;$CC$33,$CC$30:$CC$32=$CC$31,$CD$30&gt;90,$CD$31:$CD$32&lt;90),1,0)</f>
        <v>0</v>
      </c>
      <c r="CZ31" s="11" t="n">
        <f aca="false" t="array" ref="CZ31:CZ31">IF(AND($CC$30:$CC$33=$CC$31,$CD$31:$CD$33&lt;90,$CD$30&lt;&gt;$CD$31),1,0)</f>
        <v>0</v>
      </c>
      <c r="DA31" s="11" t="n">
        <f aca="false" t="array" ref="DA31:DA31">IF(AND($CC$30:$CC$33=$CC$31,$CD$30:$CD$32&lt;90,$CD$31&lt;&gt;$CD$33),1,0)</f>
        <v>0</v>
      </c>
      <c r="DB31" s="11" t="n">
        <f aca="false" t="array" ref="DB31:DB31">IF(AND($CC$30:$CC$33=$CC$31,$CD$30:$CD$31&gt;90,$CD$32:$CD$33&lt;90,$CE$30:$CE$33=$CE$31,$CF$30&gt;$CF$31,$CF$31&gt;$CF$32,$CF$31&gt;$CF$33),1,0)</f>
        <v>0</v>
      </c>
      <c r="DC31" s="11" t="n">
        <f aca="false" t="array" ref="DC31:DC31">IF(AND($CC$30:$CC$33=$CC$31,$CD$30&gt;90,$CD$31:$CD$32&lt;90,$CD$33&gt;90,$CE$30:$CE$33=$CE$31,$CF$30&gt;$CF$31,$CF$31=$CF$32,$CF$31&gt;$CF$33),1,0)</f>
        <v>0</v>
      </c>
      <c r="DD31" s="11" t="n">
        <f aca="false" t="array" ref="DD31:DD31">IF(AND($CC$30:$CC$33=$CC$31,$CD$30:$CD$31&lt;90,$CD$32:$CD$33&gt;90,$CE$30:$CE$33=$CE$31,$CF$30=$CF$31,$CF$31&gt;$CF$32,$CF$31&gt;$CF$33),1,0)</f>
        <v>0</v>
      </c>
      <c r="DE31" s="11" t="n">
        <f aca="false" t="array" ref="DE31:DE31">IF(AND($CC$30:$CC$33=$CC$31,$CD$30:$CD$31&gt;90,$CD$32:$CD$33&lt;90,$CE$30:$CE$33=$CE$31,$CF$30&gt;$CF$31,$CF$31:$CF$33=$CF$31),1,0)</f>
        <v>0</v>
      </c>
      <c r="DF31" s="11" t="n">
        <f aca="false" t="array" ref="DF31:DF31">IF(AND($CC$30:$CC$33=$CC$31,$CD$30:$CD$31&lt;90,$CD$32:$CD$33&gt;90,$CE$30:$CE$33=$CE$31,$CF$30:$CF$32=$CF$31,$CF$31&gt;$CF$33),1,0)</f>
        <v>0</v>
      </c>
      <c r="DG31" s="11" t="n">
        <f aca="false" t="array" ref="DG31:DG31">IF(AND($CC$30:$CC$33=$CC$31,$CD$30&gt;90,$CD$33&gt;90,$CD$31:$CD$32&lt;90,$CE$30:$CE$33=$CE$31,$CF$30&gt;$CF$31:$CF$33,$CF$31:$CF$33=$CF$31),1,0)</f>
        <v>0</v>
      </c>
      <c r="EC31" s="10" t="n">
        <v>3</v>
      </c>
      <c r="ED31" s="10" t="n">
        <v>3</v>
      </c>
      <c r="EE31" s="10"/>
      <c r="EF31" s="10" t="n">
        <v>4</v>
      </c>
      <c r="EG31" s="10"/>
      <c r="EH31" s="10"/>
      <c r="EI31" s="10"/>
      <c r="EJ31" s="10"/>
      <c r="EK31" s="10"/>
      <c r="EL31" s="10"/>
      <c r="FI31" s="73"/>
      <c r="FK31" s="73"/>
      <c r="FM31" s="73"/>
    </row>
    <row r="32" s="11" customFormat="true" ht="15" hidden="false" customHeight="false" outlineLevel="0" collapsed="false">
      <c r="A32" s="32" t="str">
        <f aca="true" t="array" ref="A32:A32">IF(ROWS(A$29:A32)&lt;=$C$28,INDEX(INDIRECT(A$28),SMALL(IF(Nivell=$B$28,ROW(Nivell)-ROW(Equipos!$C$2)+1),ROWS(B$28:B31))),"")</f>
        <v>Australia</v>
      </c>
      <c r="B32" s="33"/>
      <c r="C32" s="75"/>
      <c r="D32" s="35"/>
      <c r="E32" s="182"/>
      <c r="F32" s="191" t="n">
        <f aca="false">Horarios!C32</f>
        <v>44895.75</v>
      </c>
      <c r="G32" s="192" t="n">
        <f aca="false">Horarios!C32</f>
        <v>44895.75</v>
      </c>
      <c r="H32" s="191" t="s">
        <v>77</v>
      </c>
      <c r="I32" s="193" t="str">
        <f aca="false">A32</f>
        <v>Australia</v>
      </c>
      <c r="J32" s="194" t="str">
        <f aca="false">VLOOKUP(I32,Equipos!$H$2:$I$33,2,0)</f>
        <v>🇦🇺</v>
      </c>
      <c r="K32" s="195" t="n">
        <v>1</v>
      </c>
      <c r="L32" s="195" t="n">
        <v>0</v>
      </c>
      <c r="M32" s="196" t="str">
        <f aca="false">VLOOKUP(N32,Equipos!$H$2:$I$33,2,0)</f>
        <v>🇩🇰</v>
      </c>
      <c r="N32" s="197" t="str">
        <f aca="false">A30</f>
        <v>Dinamarca</v>
      </c>
      <c r="O32" s="44" t="n">
        <f aca="false">IF(NOT(OR(ISBLANK(K32),ISBLANK(L32))),1,0)</f>
        <v>1</v>
      </c>
      <c r="P32" s="45"/>
      <c r="Q32" s="206" t="n">
        <v>3</v>
      </c>
      <c r="R32" s="77" t="str">
        <f aca="false">VLOOKUP(Q32,$AG$30:$AI$33,3,0)</f>
        <v>Túnez</v>
      </c>
      <c r="S32" s="78" t="n">
        <f aca="false">VLOOKUP(R32,$AI$30:$AR$33,2,0)</f>
        <v>4</v>
      </c>
      <c r="T32" s="78" t="n">
        <f aca="false">VLOOKUP($R32,$AI$30:$AR$33,3,0)</f>
        <v>3</v>
      </c>
      <c r="U32" s="78" t="n">
        <f aca="false">VLOOKUP($R32,$AI$30:$AR$33,4,0)</f>
        <v>1</v>
      </c>
      <c r="V32" s="78" t="n">
        <f aca="false">VLOOKUP($R32,$AI$30:$AR$33,5,0)</f>
        <v>1</v>
      </c>
      <c r="W32" s="78" t="n">
        <f aca="false">VLOOKUP($R32,$AI$30:$AR$33,6,0)</f>
        <v>1</v>
      </c>
      <c r="X32" s="78" t="n">
        <f aca="false">VLOOKUP($R32,$AI$30:$AR$33,7,0)</f>
        <v>1</v>
      </c>
      <c r="Y32" s="78" t="n">
        <f aca="false">VLOOKUP($R32,$AI$30:$AR$33,8,0)</f>
        <v>1</v>
      </c>
      <c r="Z32" s="207" t="n">
        <f aca="false">VLOOKUP($R32,$AI$30:$AR$33,9,0)</f>
        <v>0</v>
      </c>
      <c r="AA32" s="67" t="n">
        <f aca="false">IF(SUM($AK$30:$AK$33)=12,MIN(ABS(BY31-BY32),ABS(BY32-BY33)),100)</f>
        <v>2218999999.99</v>
      </c>
      <c r="AB32" s="68" t="str">
        <f aca="false">IF(AND(AA32&gt;=0,AA32&lt;90),VLOOKUP(Q32,$BU$30:$BV$33,2,0),"")</f>
        <v/>
      </c>
      <c r="AC32" s="69"/>
      <c r="AD32" s="70"/>
      <c r="AE32" s="71"/>
      <c r="AF32" s="24" t="n">
        <f aca="false">VLOOKUP($R32,$AI$30:$AR$33,10,0)</f>
        <v>4445210499.85</v>
      </c>
      <c r="AG32" s="11" t="n">
        <f aca="false">RANK(AU32,$AU$30:$AU$33)</f>
        <v>3</v>
      </c>
      <c r="AH32" s="11" t="n">
        <f aca="false">RANK(AR32,$AR$30:$AR$33)</f>
        <v>3</v>
      </c>
      <c r="AI32" s="10" t="str">
        <f aca="false">A31</f>
        <v>Túnez</v>
      </c>
      <c r="AJ32" s="11" t="n">
        <f aca="false">AL32*3+AM32*1+AN32*0</f>
        <v>4</v>
      </c>
      <c r="AK32" s="11" t="n">
        <f aca="false">COUNTIFS($I$4:$I$65,AI32,$K$4:$K$65,"&lt;&gt;",$L$4:$L$65,"&lt;&gt;")+COUNTIFS($N$4:$N$65,AI32,$L$4:$L$65,"&lt;&gt;",$K$4:$K$65,"&lt;&gt;")</f>
        <v>3</v>
      </c>
      <c r="AL32" s="11" t="n">
        <f aca="false" t="array" ref="AL32:AL32">SUM(($I$4:$I$65=AI32)*($K$4:$K$65&lt;&gt;"")*($L$4:$L$65&lt;&gt;"")*($K$4:$K$65&gt;$L$4:$L$65),($N$4:$N$65=AI32)*($K$4:$K$65&lt;&gt;"")*($L$4:$L$65&lt;&gt;"")*($K$4:$K$65&lt;$L$4:$L$65))</f>
        <v>1</v>
      </c>
      <c r="AM32" s="11" t="n">
        <f aca="false" t="array" ref="AM32:AM32">SUM(($I$4:$I$65=AI32)*($K$4:$K$65&lt;&gt;"")*($L$4:$L$65&lt;&gt;"")*($K$4:$K$65=$L$4:$L$65),($N$4:$N$65=AI32)*($K$4:$K$65&lt;&gt;"")*($L$4:$L$65&lt;&gt;"")*($K$4:$K$65=$L$4:$L$65))</f>
        <v>1</v>
      </c>
      <c r="AN32" s="11" t="n">
        <f aca="false" t="array" ref="AN32:AN32">SUM(($I$4:$I$65=AI32)*($L$4:$L$65&lt;&gt;"")*($K$4:$K$65&lt;&gt;"")*($K$4:$K$65&lt;$L$4:$L$65),($K$4:$K$65&lt;&gt;"")*($N$4:$N$65=AI32)*($L$4:$L$65&lt;&gt;"")*($K$4:$K$65&gt;$L$4:$L$65))</f>
        <v>1</v>
      </c>
      <c r="AO32" s="11" t="n">
        <f aca="false" t="array" ref="AO32:AO32">SUMIFS($K$4:$K$65,$I$4:$I$65,AI32,$K$4:$K$65,"&lt;&gt;",$L$4:$L$65,"&lt;&gt;")+SUMIFS($L$4:$L$65,$N$4:$N$65,AI32,$K$4:$K$65,"&lt;&gt;",$L$4:$L$65,"&lt;&gt;")</f>
        <v>1</v>
      </c>
      <c r="AP32" s="11" t="n">
        <f aca="false" t="array" ref="AP32:AP32">SUMIFS($K$4:$K$65,$N$4:$N$65,AI32,$K$4:$K$65,"&lt;&gt;",$L$4:$L$65,"&lt;&gt;")+SUMIFS($L$4:$L$65,$I$4:$I$65,AI32,$K$4:$K$65,"&lt;&gt;",$L$4:$L$65,"&lt;&gt;")</f>
        <v>1</v>
      </c>
      <c r="AQ32" s="11" t="n">
        <f aca="false">AO32-AP32</f>
        <v>0</v>
      </c>
      <c r="AR32" s="11" t="n">
        <f aca="false">IF(AK32=0,-($AW$11*VLOOKUP(AI32,Tabla3[[NombreEquipo]:[Rank]],3,0)),AJ32*$AW$4+AQ32*$AW$5+AO32*$AW$6+BA32-($AW$11*VLOOKUP(AI32,Tabla3[[NombreEquipo]:[Rank]],3,0)/100))</f>
        <v>4445210499.85</v>
      </c>
      <c r="AS32" s="11" t="n">
        <f aca="false">AH32</f>
        <v>3</v>
      </c>
      <c r="AU32" s="11" t="n">
        <f aca="false">IFERROR(AR32-VLOOKUP(AI32,$AB$30:$AC$33,2,0),AR32)</f>
        <v>4445210499.85</v>
      </c>
      <c r="AW32" s="31"/>
      <c r="AY32" s="72" t="str">
        <f aca="false">AI32</f>
        <v>Túnez</v>
      </c>
      <c r="AZ32" s="11" t="n">
        <f aca="false">COUNTIF(AJ30:AJ33,AJ32)</f>
        <v>1</v>
      </c>
      <c r="BA32" s="11" t="n">
        <f aca="false">(BB32*$AW$9)+(BH32*$AW$8)+(BN32*$AW$7)</f>
        <v>210500</v>
      </c>
      <c r="BB32" s="73" t="n">
        <f aca="false">RANK(BC32,BC30:BC33,1)</f>
        <v>1</v>
      </c>
      <c r="BC32" s="73" t="n">
        <f aca="false">SUM(IF(AND(AJ32=AJ33,AQ32=AQ33,AO32=AO33),BG32,0),IF(AND(AJ32=AJ30,AQ32=AQ30,AO32=AO30),BD32,0),IF(AND(AJ32=AJ31,AQ32=AQ31,AO32=AO31),BE32,0))</f>
        <v>0</v>
      </c>
      <c r="BD32" s="73" t="n">
        <f aca="false" t="array" ref="BD32:BD32">SUMIFS($K$28:$K$33,$I$28:$I$33,$AY32,$K$28:$K$33,"&lt;&gt;",$L$28:$L$33,"&lt;&gt;",$N$28:$N$33,BD29)+SUMIFS($L$28:$L$33,$I$28:$I$33,BD29,$K$28:$K$33,"&lt;&gt;",$L$28:$L$33,"&lt;&gt;",$N$28:$N$33,$AY32)</f>
        <v>1</v>
      </c>
      <c r="BE32" s="73" t="n">
        <f aca="false" t="array" ref="BE32:BE32">SUMIFS($K$28:$K$33,$I$28:$I$33,$AY32,$K$28:$K$33,"&lt;&gt;",$L$28:$L$33,"&lt;&gt;",$N$28:$N$33,BE29)+SUMIFS($L$28:$L$33,$I$28:$I$33,BE29,$K$28:$K$33,"&lt;&gt;",$L$28:$L$33,"&lt;&gt;",$N$28:$N$33,$AY32)</f>
        <v>0</v>
      </c>
      <c r="BF32" s="73" t="n">
        <v>0</v>
      </c>
      <c r="BG32" s="73" t="n">
        <f aca="false" t="array" ref="BG32:BG32">SUMIFS($K$28:$K$33,$I$28:$I$33,$AY32,$K$28:$K$33,"&lt;&gt;",$L$28:$L$33,"&lt;&gt;",$N$28:$N$33,BG29)+SUMIFS($L$28:$L$33,$I$28:$I$33,BG29,$K$28:$K$33,"&lt;&gt;",$L$28:$L$33,"&lt;&gt;",$N$28:$N$33,$AY32)</f>
        <v>0</v>
      </c>
      <c r="BH32" s="73" t="n">
        <f aca="false">RANK(BI32,BI30:BI33,1)</f>
        <v>1</v>
      </c>
      <c r="BI32" s="73" t="n">
        <f aca="false">SUM(IF(AND(AJ32=AJ33,AQ32=AQ33,AO32=AO33),BM32,0),IF(AND(AJ32=AJ30,AQ32=AQ30,AO32=AO30),BJ32,0),IF(AND(AJ32=AJ31,AQ32=AQ31,AO32=AO31),BK32,0))</f>
        <v>0</v>
      </c>
      <c r="BJ32" s="73" t="n">
        <f aca="false">BD32-BF30</f>
        <v>1</v>
      </c>
      <c r="BK32" s="73" t="n">
        <f aca="false">BE32-BF31</f>
        <v>0</v>
      </c>
      <c r="BL32" s="73" t="n">
        <v>0</v>
      </c>
      <c r="BM32" s="73" t="n">
        <f aca="false">BG32-BF33</f>
        <v>-1</v>
      </c>
      <c r="BN32" s="73" t="n">
        <f aca="false">RANK(BO32,BO30:BO33,1)</f>
        <v>1</v>
      </c>
      <c r="BO32" s="73" t="n">
        <f aca="false">SUM(IF(AND(AJ32=AJ33,AQ32=AQ33,AO32=AO33),BS32,0),IF(AND(AJ32=AJ30,AQ32=AQ30,AO32=AO30),BP32,0),IF(AND(AJ32=AJ31,AQ32=AQ31,AO32=AO31),BQ32,0))</f>
        <v>0</v>
      </c>
      <c r="BP32" s="73" t="n">
        <f aca="false" t="array" ref="BP32:BP32">SUM((I$4:I$49=AY32)*(N$4:N$49=BP29)*(K$4:K$49&lt;&gt;"")*(L$4:L$49&lt;&gt;"")*(K$4:K$49&gt;L$4:L$49)*3,(N$4:N$49=AY32)*(I$4:I$49=BP29)*(K$4:K$49&lt;&gt;"")*(L$4:L$49&lt;&gt;"")*(K$4:K$49=L$4:L$49)*1,(N$4:N$49=AY32)*(I$4:I$49=BP29)*(K$4:K$49&lt;&gt;"")*(L$4:L$49&lt;&gt;"")*(K$4:K$49&lt;L$4:L$49)*3,(I$4:I$49=AY32)*(N$4:N$49=BP29)*(K$4:K$49&lt;&gt;"")*(L$4:L$49&lt;&gt;"")*(K$4:K$49=L$4:L$49)*1)</f>
        <v>3</v>
      </c>
      <c r="BQ32" s="73" t="n">
        <f aca="false" t="array" ref="BQ32:BQ32">SUM((I$4:I$49=AY32)*(N$4:N$49=BQ29)*(K$4:K$49&lt;&gt;"")*(L$4:L$49&lt;&gt;"")*(K$4:K$49&gt;L$4:L$49)*3,(N$4:N$49=AY32)*(I$4:I$49=BQ29)*(K$4:K$49&lt;&gt;"")*(L$4:L$49&lt;&gt;"")*(K$4:K$49=L$4:L$49)*1,(N$4:N$49=AY32)*(I$4:I$49=BQ29)*(K$4:K$49&lt;&gt;"")*(L$4:L$49&lt;&gt;"")*(K$4:K$49&lt;L$4:L$49)*3,(I$4:I$49=AY32)*(N$4:N$49=BQ29)*(K$4:K$49&lt;&gt;"")*(L$4:L$49&lt;&gt;"")*(K$4:K$49=L$4:L$49)*1)</f>
        <v>1</v>
      </c>
      <c r="BR32" s="73" t="n">
        <v>0</v>
      </c>
      <c r="BS32" s="73" t="n">
        <f aca="false" t="array" ref="BS32:BS32">SUM((I$4:I$49=AY32)*(N$4:N$49=BS29)*(K$4:K$49&lt;&gt;"")*(L$4:L$49&lt;&gt;"")*(K$4:K$49&gt;L$4:L$49)*3,(N$4:N$49=AY32)*(I$4:I$49=BS29)*(K$4:K$49&lt;&gt;"")*(L$4:L$49&lt;&gt;"")*(K$4:K$49=L$4:L$49)*1,(N$4:N$49=AY32)*(I$4:I$49=BS29)*(K$4:K$49&lt;&gt;"")*(L$4:L$49&lt;&gt;"")*(K$4:K$49&lt;L$4:L$49)*3,(I$4:I$49=AY32)*(N$4:N$49=BS29)*(K$4:K$49&lt;&gt;"")*(L$4:L$49&lt;&gt;"")*(K$4:K$49=L$4:L$49)*1)</f>
        <v>0</v>
      </c>
      <c r="BT32" s="10" t="n">
        <v>3</v>
      </c>
      <c r="BU32" s="10" t="n">
        <f aca="false">RANK(BW32,$BW$30:$BW$33)</f>
        <v>3</v>
      </c>
      <c r="BV32" s="10" t="str">
        <f aca="false">A31</f>
        <v>Túnez</v>
      </c>
      <c r="BW32" s="10" t="n">
        <f aca="false">IF(AK32=0,-($AW$11*VLOOKUP(AI32,Tabla3[[NombreEquipo]:[Rank]],3,0)),AJ32*$AW$4+BA32+AQ32*$AW$8+AO32*$AW$9+AL32*$AW$10-($AW$11*VLOOKUP(AI32,Tabla3[[NombreEquipo]:[Rank]],3,0)/100))</f>
        <v>4444211099.85</v>
      </c>
      <c r="BX32" s="10" t="str">
        <f aca="false">VLOOKUP(Q32,$AH$30:$AI$33,2,0)</f>
        <v>Túnez</v>
      </c>
      <c r="BY32" s="10" t="n">
        <f aca="false">VLOOKUP($BX32,$AI$30:$AR$33,10,0)</f>
        <v>4445210499.85</v>
      </c>
      <c r="BZ32" s="10"/>
      <c r="CA32" s="10" t="n">
        <v>3</v>
      </c>
      <c r="CB32" s="10" t="str">
        <f aca="false">VLOOKUP(CA32,$AH$30:$AI$33,2,0)</f>
        <v>Túnez</v>
      </c>
      <c r="CC32" s="10" t="n">
        <f aca="false">VLOOKUP(CB32,$AI$30:$AR$33,2,0)</f>
        <v>4</v>
      </c>
      <c r="CD32" s="74" t="n">
        <f aca="false">IF(SUM($AK$30:$AK$33)=12,MIN(ABS(BY31-BY32),ABS(BY32-BY33)),100)</f>
        <v>2218999999.99</v>
      </c>
      <c r="CE32" s="10" t="n">
        <f aca="false">VLOOKUP($CB32,$AI$30:$AR$33,9,0)</f>
        <v>0</v>
      </c>
      <c r="CF32" s="10" t="n">
        <f aca="false">VLOOKUP($CB32,$AI$30:$AR$33,7,0)</f>
        <v>1</v>
      </c>
      <c r="CG32" s="10"/>
      <c r="CH32" s="10" t="n">
        <f aca="false" t="array" ref="CH32:CH32">IF($CI$30=$CL$29,$EC$29:$EC$32,IF($CI$30=$CM$29,$ED$29:$ED$31,IF(OR($CI$30=$CN$29,$CI$30=$CR$29),$EG$29:$EG$30,IF($CI$30=$CP$29,$EF$29:$EF$31,(IF($CI$30=$CQ$29,$EH$29:$EH$30,$EK$29))))))</f>
        <v>3</v>
      </c>
      <c r="CK32" s="11" t="n">
        <v>3</v>
      </c>
      <c r="CL32" s="11" t="n">
        <f aca="false" t="array" ref="CL32:CL32">IF(AND($CC$30:$CC$33=$CC$32,$CD$30:$CD$33&lt;90,$AQ$30:$AQ$33=$AQ$32,$CF$30:$CF$33=$CF$32),1,0)</f>
        <v>0</v>
      </c>
      <c r="CM32" s="11" t="n">
        <f aca="false" t="array" ref="CM32:CM32">IF(AND($CC$30:$CC$32=$CC$32,$CD$30:$CD$32&lt;90,$CC$32&lt;&gt;$CC$33),1,0)</f>
        <v>0</v>
      </c>
      <c r="CN32" s="11" t="n">
        <f aca="false" t="array" ref="CN32:CN32">IF(AND($CC$32:$CC$33=$CC$32,$CD$32:$CD$33&lt;90,$CC$32&lt;&gt;$CC$31),1,0)</f>
        <v>0</v>
      </c>
      <c r="CO32" s="11" t="n">
        <f aca="false" t="array" ref="CO32:CO32">IF(OR(AND($CC$32&lt;&gt;$CC$31,$CC$32&lt;&gt;$CC$33),AND($CC$32&lt;&gt;$CC$31,$CC$32=$CC$33,$CD$32&gt;90,$CD$33&gt;90)),1,0)</f>
        <v>1</v>
      </c>
      <c r="CP32" s="11" t="n">
        <f aca="false" t="array" ref="CP32:CP32">IF(AND($CC$31:$CC$33=$CC$31,$CD$31:$CD$33&lt;90,$CC$30&lt;&gt;$CC$32),1,0)</f>
        <v>0</v>
      </c>
      <c r="CQ32" s="11" t="n">
        <f aca="false" t="array" ref="CQ32:CQ32">IF(AND($CC$31:$CC$32=$CC$32,$CD$31:$CD$32&lt;90,$CC$32&lt;&gt;$CC$30,$CC$32&lt;&gt;$CC$33),1,0)</f>
        <v>0</v>
      </c>
      <c r="CR32" s="11" t="n">
        <f aca="false" t="array" ref="CR32:CR32">IF(AND($CC$32:$CC$33=$CC$32,$CD$32:$CD$33&lt;90,$CC$32&lt;&gt;$CC$31),1,0)</f>
        <v>0</v>
      </c>
      <c r="CS32" s="11" t="n">
        <f aca="false" t="array" ref="CS32:CS32">IF(AND($CC$32&lt;&gt;$CC$31,$CC$32&lt;&gt;$CC$33),1,0)</f>
        <v>1</v>
      </c>
      <c r="CT32" s="11" t="n">
        <f aca="false" t="array" ref="CT32:CT32">IF(AND($CC$30:$CC$33=$CC$30,$CD$30:$CD$33&lt;90,$CE$32:$CE$33=$CE$32,$CE$31&lt;&gt;$CE$32),1,0)</f>
        <v>0</v>
      </c>
      <c r="CU32" s="11" t="n">
        <f aca="false" t="array" ref="CU32:CU32">IF(AND($CC$30:$CC$33=$CC$30,$CD$30:$CD$33&lt;90,$CE$30:$CE$33=$CE$30,$CF$32=$CF$33,$CF$31&lt;&gt;$CF$32),1,0)</f>
        <v>0</v>
      </c>
      <c r="CV32" s="11" t="n">
        <f aca="false" t="array" ref="CV32:CV32">IF(AND($CC$30:$CC$32=$CC$32,$CD$30:$CD$31&lt;90,$CD$32&gt;90),1,0)</f>
        <v>0</v>
      </c>
      <c r="CW32" s="11" t="n">
        <f aca="false" t="array" ref="CW32:CW32">IF(AND($CC$31&lt;&gt;$CC$30,$CC$31:$CC$33=$CC$32,$CD$31&gt;90,$CD$32:$CD$33&lt;90),1,0)</f>
        <v>0</v>
      </c>
      <c r="CX32" s="11" t="n">
        <f aca="false" t="array" ref="CX32:CX32">IF(AND($CC$31&lt;&gt;$CC$30,$CC$31:$CC$33=$CC$31,$CD$33&gt;90,$CD$31:$CD$32&lt;90),1,0)</f>
        <v>0</v>
      </c>
      <c r="CY32" s="11" t="n">
        <f aca="false" t="array" ref="CY32:CY32">IF(AND($CC$32&lt;&gt;$CC$33,$CC$30:$CC$32=$CC$32,$CD$30&gt;90,$CD$31:$CD$32&lt;90),1,0)</f>
        <v>0</v>
      </c>
      <c r="CZ32" s="11" t="n">
        <f aca="false" t="array" ref="CZ32:CZ32">IF(AND($CC$30:$CC$33=$CC$31,$CD$31:$CD$33&lt;90,$CD$30&lt;&gt;$CD$32),1,0)</f>
        <v>0</v>
      </c>
      <c r="DA32" s="11" t="n">
        <f aca="false" t="array" ref="DA32:DA32">IF(AND($CC$30:$CC$33=$CC$32,$CD$30:$CD$32&lt;90,$CD$32&lt;&gt;$CD$33),1,0)</f>
        <v>0</v>
      </c>
      <c r="DB32" s="11" t="n">
        <f aca="false" t="array" ref="DB32:DB32">IF(AND($CC$30:$CC$33=$CC$32,$CD$30:$CD$31&gt;90,$CD$32:$CD$33&lt;90,$CE$30:$CE$33=$CE$32,$CF$30&gt;$CF$31,$CF$31&gt;$CF$32,$CF$32=$CF$33),1,0)</f>
        <v>0</v>
      </c>
      <c r="DC32" s="11" t="n">
        <f aca="false" t="array" ref="DC32:DC32">IF(AND($CC$30:$CC$33=$CC$32,$CD$30&gt;90,$CD$31:$CD$32&lt;90,$CD$33&gt;90,$CE$30:$CE$33=$CE$32,$CF$30&gt;$CF$31,$CF$31=$CF$32,$CF$32&gt;$CF$33),1,0)</f>
        <v>0</v>
      </c>
      <c r="DD32" s="11" t="n">
        <f aca="false" t="array" ref="DD32:DD32">IF(AND($CC$30:$CC$33=$CC$32,$CD$30:$CD$31&lt;90,$CD$32:$CD$33&gt;90,$CE$30:$CE$33=$CE$32,$CF$30=$CF$31,$CF$31&gt;$CF$32,$CF$32&gt;$CF$33),1,0)</f>
        <v>0</v>
      </c>
      <c r="DE32" s="11" t="n">
        <f aca="false" t="array" ref="DE32:DE32">IF(AND($CC$30:$CC$33=$CC$32,$CD$30:$CD$31&gt;90,$CD$32:$CD$33&lt;90,$CE$30:$CE$33=$CE$31,$CF$30&gt;$CF$32,$CF$31:$CF$33=$CF$32),1,0)</f>
        <v>0</v>
      </c>
      <c r="DF32" s="11" t="n">
        <f aca="false" t="array" ref="DF32:DF32">IF(AND($CC$30:$CC$33=$CC$32,$CD$30:$CD$31&lt;90,$CD$32:$CD$33&gt;90,$CE$30:$CE$33=$CE$32,$CF$30:$CF$32=$CF$32,$CF$32&gt;$CF$33),1,0)</f>
        <v>0</v>
      </c>
      <c r="DG32" s="11" t="n">
        <f aca="false" t="array" ref="DG32:DG32">IF(AND($CC$30:$CC$33=$CC$32,$CD$30&gt;90,$CD$33&gt;90,$CD$31:$CD$32&lt;90,$CE$30:$CE$33=$CE$32,$CF$30&gt;$CF$31:$CF$33,$CF$31:$CF$33=$CF$32),1,0)</f>
        <v>0</v>
      </c>
      <c r="EC32" s="10" t="n">
        <v>4</v>
      </c>
      <c r="ED32" s="10"/>
      <c r="EE32" s="10"/>
      <c r="EF32" s="10"/>
      <c r="EG32" s="10"/>
      <c r="EH32" s="10"/>
      <c r="EI32" s="10"/>
      <c r="EJ32" s="10"/>
      <c r="EK32" s="10"/>
      <c r="EL32" s="10"/>
      <c r="FI32" s="73"/>
      <c r="FK32" s="73"/>
      <c r="FM32" s="73"/>
    </row>
    <row r="33" s="11" customFormat="true" ht="15.75" hidden="false" customHeight="false" outlineLevel="0" collapsed="false">
      <c r="A33" s="12"/>
      <c r="B33" s="12"/>
      <c r="C33" s="12"/>
      <c r="D33" s="35"/>
      <c r="E33" s="182"/>
      <c r="F33" s="208" t="n">
        <f aca="false">Horarios!C33</f>
        <v>44895.75</v>
      </c>
      <c r="G33" s="209" t="n">
        <f aca="false">Horarios!C33</f>
        <v>44895.75</v>
      </c>
      <c r="H33" s="208" t="s">
        <v>77</v>
      </c>
      <c r="I33" s="210" t="str">
        <f aca="false">A31</f>
        <v>Túnez</v>
      </c>
      <c r="J33" s="211" t="str">
        <f aca="false">VLOOKUP(I33,Equipos!$H$2:$I$33,2,0)</f>
        <v>🇹🇳</v>
      </c>
      <c r="K33" s="212" t="n">
        <v>1</v>
      </c>
      <c r="L33" s="212" t="n">
        <v>0</v>
      </c>
      <c r="M33" s="213" t="str">
        <f aca="false">VLOOKUP(N33,Equipos!$H$2:$I$33,2,0)</f>
        <v>🇫🇷</v>
      </c>
      <c r="N33" s="214" t="str">
        <f aca="false">A29</f>
        <v>Francia</v>
      </c>
      <c r="O33" s="44" t="n">
        <f aca="false">IF(NOT(OR(ISBLANK(K33),ISBLANK(L33))),1,0)</f>
        <v>1</v>
      </c>
      <c r="P33" s="45"/>
      <c r="Q33" s="215" t="n">
        <v>4</v>
      </c>
      <c r="R33" s="216" t="str">
        <f aca="false">VLOOKUP(Q33,$AG$30:$AI$33,3,0)</f>
        <v>Dinamarca</v>
      </c>
      <c r="S33" s="217" t="n">
        <f aca="false">VLOOKUP(R33,$AI$30:$AR$33,2,0)</f>
        <v>1</v>
      </c>
      <c r="T33" s="217" t="n">
        <f aca="false">VLOOKUP($R33,$AI$30:$AR$33,3,0)</f>
        <v>3</v>
      </c>
      <c r="U33" s="217" t="n">
        <f aca="false">VLOOKUP($R33,$AI$30:$AR$33,4,0)</f>
        <v>0</v>
      </c>
      <c r="V33" s="217" t="n">
        <f aca="false">VLOOKUP($R33,$AI$30:$AR$33,5,0)</f>
        <v>1</v>
      </c>
      <c r="W33" s="217" t="n">
        <f aca="false">VLOOKUP($R33,$AI$30:$AR$33,6,0)</f>
        <v>2</v>
      </c>
      <c r="X33" s="217" t="n">
        <f aca="false">VLOOKUP($R33,$AI$30:$AR$33,7,0)</f>
        <v>1</v>
      </c>
      <c r="Y33" s="217" t="n">
        <f aca="false">VLOOKUP($R33,$AI$30:$AR$33,8,0)</f>
        <v>3</v>
      </c>
      <c r="Z33" s="218" t="n">
        <f aca="false">VLOOKUP($R33,$AI$30:$AR$33,9,0)</f>
        <v>-2</v>
      </c>
      <c r="AA33" s="67" t="n">
        <f aca="false">IF(SUM($AK$30:$AK$33)=12,MIN(ABS(BY32-BY33),ABS(BY33-BY34)),100)</f>
        <v>1102210499.86</v>
      </c>
      <c r="AB33" s="68" t="str">
        <f aca="false">IF(AND(AA33&gt;=0,AA33&lt;90),VLOOKUP(Q33,$BU$30:$BV$33,2,0),"")</f>
        <v/>
      </c>
      <c r="AC33" s="69"/>
      <c r="AD33" s="70"/>
      <c r="AE33" s="71"/>
      <c r="AF33" s="24" t="n">
        <f aca="false">VLOOKUP($R33,$AI$30:$AR$33,10,0)</f>
        <v>1102210499.86</v>
      </c>
      <c r="AG33" s="11" t="n">
        <f aca="false">RANK(AU33,$AU$30:$AU$33)</f>
        <v>2</v>
      </c>
      <c r="AH33" s="11" t="n">
        <f aca="false">RANK(AR33,$AR$30:$AR$33)</f>
        <v>2</v>
      </c>
      <c r="AI33" s="10" t="str">
        <f aca="false">A32</f>
        <v>Australia</v>
      </c>
      <c r="AJ33" s="11" t="n">
        <f aca="false">AL33*3+AM33*1+AN33*0</f>
        <v>6</v>
      </c>
      <c r="AK33" s="11" t="n">
        <f aca="false">COUNTIFS($I$4:$I$65,AI33,$K$4:$K$65,"&lt;&gt;",$L$4:$L$65,"&lt;&gt;")+COUNTIFS($N$4:$N$65,AI33,$L$4:$L$65,"&lt;&gt;",$K$4:$K$65,"&lt;&gt;")</f>
        <v>3</v>
      </c>
      <c r="AL33" s="11" t="n">
        <f aca="false" t="array" ref="AL33:AL33">SUM(($I$4:$I$65=AI33)*($K$4:$K$65&lt;&gt;"")*($L$4:$L$65&lt;&gt;"")*($K$4:$K$65&gt;$L$4:$L$65),($N$4:$N$65=AI33)*($K$4:$K$65&lt;&gt;"")*($L$4:$L$65&lt;&gt;"")*($K$4:$K$65&lt;$L$4:$L$65))</f>
        <v>2</v>
      </c>
      <c r="AM33" s="11" t="n">
        <f aca="false" t="array" ref="AM33:AM33">SUM(($I$4:$I$65=AI33)*($K$4:$K$65&lt;&gt;"")*($L$4:$L$65&lt;&gt;"")*($K$4:$K$65=$L$4:$L$65),($N$4:$N$65=AI33)*($K$4:$K$65&lt;&gt;"")*($L$4:$L$65&lt;&gt;"")*($K$4:$K$65=$L$4:$L$65))</f>
        <v>0</v>
      </c>
      <c r="AN33" s="11" t="n">
        <f aca="false" t="array" ref="AN33:AN33">SUM(($I$4:$I$65=AI33)*($L$4:$L$65&lt;&gt;"")*($K$4:$K$65&lt;&gt;"")*($K$4:$K$65&lt;$L$4:$L$65),($K$4:$K$65&lt;&gt;"")*($N$4:$N$65=AI33)*($L$4:$L$65&lt;&gt;"")*($K$4:$K$65&gt;$L$4:$L$65))</f>
        <v>1</v>
      </c>
      <c r="AO33" s="11" t="n">
        <f aca="false" t="array" ref="AO33:AO33">SUMIFS($K$4:$K$65,$I$4:$I$65,AI33,$K$4:$K$65,"&lt;&gt;",$L$4:$L$65,"&lt;&gt;")+SUMIFS($L$4:$L$65,$N$4:$N$65,AI33,$K$4:$K$65,"&lt;&gt;",$L$4:$L$65,"&lt;&gt;")</f>
        <v>3</v>
      </c>
      <c r="AP33" s="11" t="n">
        <f aca="false" t="array" ref="AP33:AP33">SUMIFS($K$4:$K$65,$N$4:$N$65,AI33,$K$4:$K$65,"&lt;&gt;",$L$4:$L$65,"&lt;&gt;")+SUMIFS($L$4:$L$65,$I$4:$I$65,AI33,$K$4:$K$65,"&lt;&gt;",$L$4:$L$65,"&lt;&gt;")</f>
        <v>4</v>
      </c>
      <c r="AQ33" s="11" t="n">
        <f aca="false">AO33-AP33</f>
        <v>-1</v>
      </c>
      <c r="AR33" s="11" t="n">
        <f aca="false">IF(AK33=0,-($AW$11*VLOOKUP(AI33,Tabla3[[NombreEquipo]:[Rank]],3,0)),AJ33*$AW$4+AQ33*$AW$5+AO33*$AW$6+BA33-($AW$11*VLOOKUP(AI33,Tabla3[[NombreEquipo]:[Rank]],3,0)/100))</f>
        <v>6664210499.84</v>
      </c>
      <c r="AS33" s="11" t="n">
        <f aca="false">AH33</f>
        <v>2</v>
      </c>
      <c r="AU33" s="11" t="n">
        <f aca="false">IFERROR(AR33-VLOOKUP(AI33,$AB$30:$AC$33,2,0),AR33)</f>
        <v>6664210499.84</v>
      </c>
      <c r="AW33" s="31"/>
      <c r="AY33" s="72" t="str">
        <f aca="false">AI33</f>
        <v>Australia</v>
      </c>
      <c r="AZ33" s="11" t="n">
        <f aca="false">COUNTIF(AJ30:AJ33,AJ33)</f>
        <v>2</v>
      </c>
      <c r="BA33" s="11" t="n">
        <f aca="false">(BB33*$AW$9)+(BH33*$AW$8)+(BN33*$AW$7)</f>
        <v>210500</v>
      </c>
      <c r="BB33" s="73" t="n">
        <f aca="false">RANK(BC33,BC30:BC33,1)</f>
        <v>1</v>
      </c>
      <c r="BC33" s="73" t="n">
        <f aca="false">SUM(IF(AND(AJ33=AJ30,AQ33=AQ30,AO33=AO30),BD33,0),IF(AND(AJ33=AJ31,AQ33=AQ31,AO33=AO31),BE33,0),IF(AND(AJ33=AJ32,AQ33=AQ32,AO33=AO32),BF33,0))</f>
        <v>0</v>
      </c>
      <c r="BD33" s="73" t="n">
        <f aca="false" t="array" ref="BD33:BD33">SUMIFS($K$28:$K$33,$I$28:$I$33,$AY33,$K$28:$K$33,"&lt;&gt;",$L$28:$L$33,"&lt;&gt;",$N$28:$N$33,BD29)+SUMIFS($L$28:$L$33,$I$28:$I$33,BD29,$K$28:$K$33,"&lt;&gt;",$L$28:$L$33,"&lt;&gt;",$N$28:$N$33,$AY33)</f>
        <v>1</v>
      </c>
      <c r="BE33" s="73" t="n">
        <f aca="false" t="array" ref="BE33:BE33">SUMIFS($K$28:$K$33,$I$28:$I$33,$AY33,$K$28:$K$33,"&lt;&gt;",$L$28:$L$33,"&lt;&gt;",$N$28:$N$33,BE29)+SUMIFS($L$28:$L$33,$I$28:$I$33,BE29,$K$28:$K$33,"&lt;&gt;",$L$28:$L$33,"&lt;&gt;",$N$28:$N$33,$AY33)</f>
        <v>1</v>
      </c>
      <c r="BF33" s="73" t="n">
        <f aca="false" t="array" ref="BF33:BF33">SUMIFS($K$28:$K$33,$I$28:$I$33,$AY33,$K$28:$K$33,"&lt;&gt;",$L$28:$L$33,"&lt;&gt;",$N$28:$N$33,BF29)+SUMIFS($L$28:$L$33,$I$28:$I$33,BF29,$K$28:$K$33,"&lt;&gt;",$L$28:$L$33,"&lt;&gt;",$N$28:$N$33,$AY33)</f>
        <v>1</v>
      </c>
      <c r="BG33" s="73" t="n">
        <v>0</v>
      </c>
      <c r="BH33" s="73" t="n">
        <f aca="false">RANK(BI33,BI30:BI33,1)</f>
        <v>1</v>
      </c>
      <c r="BI33" s="73" t="n">
        <f aca="false">SUM(IF(AND(AJ33=AJ30,AQ33=AQ30,AO33=AO30),BJ33,0),IF(AND(AJ33=AJ31,AQ33=AQ31,AO33=AO31),BK33,0),IF(AND(AJ33=AJ32,AQ33=AQ32,AO33=AO32),BL33,0))</f>
        <v>0</v>
      </c>
      <c r="BJ33" s="73" t="n">
        <f aca="false">BD33-BG30</f>
        <v>-3</v>
      </c>
      <c r="BK33" s="73" t="n">
        <f aca="false">BE33-BG31</f>
        <v>1</v>
      </c>
      <c r="BL33" s="73" t="n">
        <f aca="false">BF33-BG32</f>
        <v>1</v>
      </c>
      <c r="BM33" s="73" t="n">
        <v>0</v>
      </c>
      <c r="BN33" s="73" t="n">
        <f aca="false">RANK(BO33,BO30:BO33,1)</f>
        <v>1</v>
      </c>
      <c r="BO33" s="73" t="n">
        <f aca="false">SUM(IF(AND(AJ33=AJ30,AQ33=AQ30,AO33=AO30),BP33,0),IF(AND(AJ33=AJ31,AQ33=AQ31,AO33=AO31),BQ33,0),IF(AND(AJ33=AJ32,AQ33=AQ32,AO33=AO32),BR33,0))</f>
        <v>0</v>
      </c>
      <c r="BP33" s="73" t="n">
        <f aca="false" t="array" ref="BP33:BP33">SUM((I$4:I$49=AY33)*(N$4:N$49=BP29)*(K$4:K$49&lt;&gt;"")*(L$4:L$49&lt;&gt;"")*(K$4:K$49&gt;L$4:L$49)*3,(N$4:N$49=AY33)*(I$4:I$49=BP29)*(K$4:K$49&lt;&gt;"")*(L$4:L$49&lt;&gt;"")*(K$4:K$49=L$4:L$49)*1,(N$4:N$49=AY33)*(I$4:I$49=BP29)*(K$4:K$49&lt;&gt;"")*(L$4:L$49&lt;&gt;"")*(K$4:K$49&lt;L$4:L$49)*3,(I$4:I$49=AY33)*(N$4:N$49=BP29)*(K$4:K$49&lt;&gt;"")*(L$4:L$49&lt;&gt;"")*(K$4:K$49=L$4:L$49)*1)</f>
        <v>0</v>
      </c>
      <c r="BQ33" s="73" t="n">
        <f aca="false" t="array" ref="BQ33:BQ33">SUM((I$4:I$49=AY33)*(N$4:N$49=BQ29)*(K$4:K$49&lt;&gt;"")*(L$4:L$49&lt;&gt;"")*(K$4:K$49&gt;L$4:L$49)*3,(N$4:N$49=AY33)*(I$4:I$49=BQ29)*(K$4:K$49&lt;&gt;"")*(L$4:L$49&lt;&gt;"")*(K$4:K$49=L$4:L$49)*1,(N$4:N$49=AY33)*(I$4:I$49=BQ29)*(K$4:K$49&lt;&gt;"")*(L$4:L$49&lt;&gt;"")*(K$4:K$49&lt;L$4:L$49)*3,(I$4:I$49=AY33)*(N$4:N$49=BQ29)*(K$4:K$49&lt;&gt;"")*(L$4:L$49&lt;&gt;"")*(K$4:K$49=L$4:L$49)*1)</f>
        <v>3</v>
      </c>
      <c r="BR33" s="73" t="n">
        <f aca="false" t="array" ref="BR33:BR33">SUM((I$4:I$49=AY33)*(N$4:N$49=BR29)*(K$4:K$49&lt;&gt;"")*(L$4:L$49&lt;&gt;"")*(K$4:K$49&gt;L$4:L$49)*3,(N$4:N$49=AY33)*(I$4:I$49=BR29)*(K$4:K$49&lt;&gt;"")*(L$4:L$49&lt;&gt;"")*(K$4:K$49=L$4:L$49)*1,(N$4:N$49=AY33)*(I$4:I$49=BR29)*(K$4:K$49&lt;&gt;"")*(L$4:L$49&lt;&gt;"")*(K$4:K$49&lt;L$4:L$49)*3,(I$4:I$49=AY33)*(N$4:N$49=BR29)*(K$4:K$49&lt;&gt;"")*(L$4:L$49&lt;&gt;"")*(K$4:K$49=L$4:L$49)*1)</f>
        <v>3</v>
      </c>
      <c r="BS33" s="73" t="n">
        <v>0</v>
      </c>
      <c r="BT33" s="10" t="n">
        <v>4</v>
      </c>
      <c r="BU33" s="10" t="n">
        <f aca="false">RANK(BW33,$BW$30:$BW$33)</f>
        <v>2</v>
      </c>
      <c r="BV33" s="10" t="str">
        <f aca="false">A32</f>
        <v>Australia</v>
      </c>
      <c r="BW33" s="10" t="n">
        <f aca="false">IF(AK33=0,-($AW$11*VLOOKUP(AI33,Tabla3[[NombreEquipo]:[Rank]],3,0)),AJ33*$AW$4+BA33+AQ33*$AW$8+AO33*$AW$9+AL33*$AW$10-($AW$11*VLOOKUP(AI33,Tabla3[[NombreEquipo]:[Rank]],3,0)/100))</f>
        <v>6666202199.84</v>
      </c>
      <c r="BX33" s="10" t="str">
        <f aca="false">VLOOKUP(Q33,$AH$30:$AI$33,2,0)</f>
        <v>Dinamarca</v>
      </c>
      <c r="BY33" s="10" t="n">
        <f aca="false">VLOOKUP($BX33,$AI$30:$AR$33,10,0)</f>
        <v>1102210499.86</v>
      </c>
      <c r="BZ33" s="10"/>
      <c r="CA33" s="10" t="n">
        <v>4</v>
      </c>
      <c r="CB33" s="10" t="str">
        <f aca="false">VLOOKUP(CA33,$AH$30:$AI$33,2,0)</f>
        <v>Dinamarca</v>
      </c>
      <c r="CC33" s="10" t="n">
        <f aca="false">VLOOKUP(CB33,$AI$30:$AR$33,2,0)</f>
        <v>1</v>
      </c>
      <c r="CD33" s="74" t="n">
        <f aca="false">IF(SUM($AK$30:$AK$33)=12,MIN(ABS(BY32-BY33),ABS(BY33-BY34)),100)</f>
        <v>1102210499.86</v>
      </c>
      <c r="CE33" s="10" t="n">
        <f aca="false">VLOOKUP($CB33,$AI$30:$AR$33,9,0)</f>
        <v>-2</v>
      </c>
      <c r="CF33" s="10" t="n">
        <f aca="false">VLOOKUP($CB33,$AI$30:$AR$33,7,0)</f>
        <v>1</v>
      </c>
      <c r="CG33" s="10"/>
      <c r="CH33" s="10" t="n">
        <f aca="false" t="array" ref="CH33:CH33">IF($CI$30=$CL$29,$EC$29:$EC$32,IF(OR($CI$30=$CN$29,$CI$30=$CR$29),$EG$29:$EG$30,IF($CI$30=$CP$29,$EF$29:$EF$31,$EL$29)))</f>
        <v>4</v>
      </c>
      <c r="CK33" s="11" t="n">
        <v>4</v>
      </c>
      <c r="CL33" s="11" t="n">
        <f aca="false" t="array" ref="CL33:CL33">IF(AND($CC$30:$CC$33=$CC$33,$CD$30:$CD$33&lt;90,$AQ$30:$AQ$33=$AQ$33,$CF$30:$CF$33=$CF$33),1,0)</f>
        <v>0</v>
      </c>
      <c r="CM33" s="11" t="n">
        <f aca="false" t="array" ref="CM33:CM33">IF(AND($CC$30:$CC$32=$CC$30,$CD$30:$CD$32&lt;90,$CD$33&gt;90,$CC$30&lt;&gt;$CC$33),1,0)</f>
        <v>0</v>
      </c>
      <c r="CN33" s="11" t="n">
        <f aca="false" t="array" ref="CN33:CN33">IF(AND($CC$32:$CC$33=$CC$32,$CD$32:$CD$33&lt;90,$CC$32&lt;&gt;$CC$31),1,0)</f>
        <v>0</v>
      </c>
      <c r="CO33" s="11" t="n">
        <f aca="false" t="array" ref="CO33:CO33">IF(AND($CC$33&lt;&gt;$CC$31,$CC$33&lt;&gt;$CC$30),1,0)</f>
        <v>1</v>
      </c>
      <c r="CP33" s="11" t="n">
        <f aca="false" t="array" ref="CP33:CP33">IF(AND($CC$31:$CC$33=$CC$31,$CD$31:$CD$33&lt;90,$CC$30&lt;&gt;$CC$33),1,0)</f>
        <v>0</v>
      </c>
      <c r="CQ33" s="11" t="n">
        <f aca="false" t="array" ref="CQ33:CQ33">IF(AND($CC$33&lt;&gt;$CC$31,$CC$33&lt;&gt;$CC$30),1,0)</f>
        <v>1</v>
      </c>
      <c r="CR33" s="11" t="n">
        <f aca="false" t="array" ref="CR33:CR33">IF(AND($CC$32:$CC$33=$CC$32,$CD$32:$CD$33&lt;90,$CC$32&lt;&gt;$CC$31),1,0)</f>
        <v>0</v>
      </c>
      <c r="CS33" s="11" t="n">
        <f aca="false" t="array" ref="CS33:CS33">IF(AND($CC$33&lt;&gt;$CC$31,$CC$33&lt;&gt;$CC$30),1,0)</f>
        <v>1</v>
      </c>
      <c r="CT33" s="11" t="n">
        <f aca="false" t="array" ref="CT33:CT33">IF(AND($CC$30:$CC$33=$CC$30,$CD$30:$CD$33&lt;90,$CE$32:$CE$33=$CE$33,$CE$31&lt;&gt;$CE$33),1,0)</f>
        <v>0</v>
      </c>
      <c r="CU33" s="11" t="n">
        <f aca="false" t="array" ref="CU33:CU33">IF(AND($CC$30:$CC$33=$CC$30,$CD$30:$CD$33&lt;90,$CE$30:$CE$33=$CE$30,$CF$32=$CF$33,$CF$31&lt;&gt;$CF$32),1,0)</f>
        <v>0</v>
      </c>
      <c r="CV33" s="11" t="n">
        <f aca="false" t="array" ref="CV33:CV33">IF(AND($CC$30:$CC$32=$CC$30,$CD$30:$CD$31&lt;90,$CC$32&lt;&gt;$CC$33),1,0)</f>
        <v>0</v>
      </c>
      <c r="CW33" s="11" t="n">
        <f aca="false" t="array" ref="CW33:CW33">IF(AND($CC$31&lt;&gt;$CC$30,$CC$31:$CC$33=$CC$32,$CD$31&gt;90,$CD$32:$CD$33&lt;90),1,0)</f>
        <v>0</v>
      </c>
      <c r="CX33" s="11" t="n">
        <f aca="false" t="array" ref="CX33:CX33">IF(AND($CC$31&lt;&gt;$CC$30,$CC$31:$CC$33=$CC$31,$CD$33&gt;90,$CD$31:$CD$32&lt;90),1,0)</f>
        <v>0</v>
      </c>
      <c r="CY33" s="11" t="n">
        <f aca="false" t="array" ref="CY33:CY33">IF(AND($CC$33&lt;&gt;$CC$31,$CC$33&lt;&gt;$CC$32),1,0)</f>
        <v>1</v>
      </c>
      <c r="CZ33" s="11" t="n">
        <f aca="false" t="array" ref="CZ33:CZ33">IF(AND($CC$30:$CC$33=$CC$31,$CD$31:$CD$33&lt;90,$CD$30&lt;&gt;$CD$33),1,0)</f>
        <v>0</v>
      </c>
      <c r="DA33" s="11" t="n">
        <f aca="false" t="array" ref="DA33:DA33">IF(AND($CC$30:$CC$33=$CC$30,$CD$30:$CD$32&lt;90,$CD$32&lt;&gt;$CD$33),1,0)</f>
        <v>0</v>
      </c>
      <c r="DB33" s="11" t="n">
        <f aca="false" t="array" ref="DB33:DB33">IF(AND($CC$30:$CC$33=$CC$33,$CD$30:$CD$31&gt;90,$CD$32:$CD$33&lt;90,$CE$30:$CE$33=$CE$33,$CF$30&gt;$CF$31,$CF$31&gt;$CF$33,$CF$32=$CF$33),1,0)</f>
        <v>0</v>
      </c>
      <c r="DC33" s="11" t="n">
        <f aca="false" t="array" ref="DC33:DC33">IF(AND($CC$30:$CC$33=$CC$31,$CD$30&gt;90,$CD$31:$CD$32&lt;90,$CD$33&gt;90,$CE$30:$CE$33=$CE$33,$CF$30&gt;$CF$33,$CF$31=$CF$32,$CF$31&gt;$CF$33),1,0)</f>
        <v>0</v>
      </c>
      <c r="DD33" s="11" t="n">
        <f aca="false" t="array" ref="DD33:DD33">IF(AND($CC$30:$CC$33=$CC$33,$CD$30:$CD$31&lt;90,$CD$32:$CD$33&gt;90,$CE$30:$CE$33=$CE$33,$CF$30=$CF$31,$CF$31&gt;$CF$32,$CF$32&gt;$CF$33),1,0)</f>
        <v>0</v>
      </c>
      <c r="DE33" s="11" t="n">
        <f aca="false" t="array" ref="DE33:DE33">IF(AND($CC$30:$CC$33=$CC$33,$CD$30:$CD$31&gt;90,$CD$32:$CD$33&lt;90,$CE$30:$CE$33=$CE$33,$CF$30&gt;$CF$33,$CF$31:$CF$33=$CF$33),1,0)</f>
        <v>0</v>
      </c>
      <c r="DF33" s="11" t="n">
        <f aca="false" t="array" ref="DF33:DF33">IF(AND($CC$30:$CC$33=$CC$33,$CD$30:$CD$31&lt;90,$CD$32:$CD$33&gt;90,$CE$30:$CE$33=$CE$33,$CF$30:$CF$32=$CF$32,$CF$30:$CF$32&gt;$CF$33),1,0)</f>
        <v>0</v>
      </c>
      <c r="DG33" s="11" t="n">
        <f aca="false" t="array" ref="DG33:DG33">IF(AND($CC$30:$CC$33=$CC$33,$CD$30&gt;90,$CD$33&gt;90,$CD$31:$CD$32&lt;90,$CE$30:$CE$33=$CE$33,$CF$30&gt;$CF$31:$CF$33,$CF$31:$CF$33=$CF$33),1,0)</f>
        <v>0</v>
      </c>
      <c r="FI33" s="73"/>
      <c r="FK33" s="73"/>
      <c r="FM33" s="73"/>
    </row>
    <row r="34" s="11" customFormat="true" ht="15" hidden="false" customHeight="false" outlineLevel="0" collapsed="false">
      <c r="A34" s="12"/>
      <c r="B34" s="12"/>
      <c r="C34" s="12"/>
      <c r="D34" s="35"/>
      <c r="E34" s="15"/>
      <c r="F34" s="142"/>
      <c r="G34" s="15"/>
      <c r="H34" s="15"/>
      <c r="I34" s="15"/>
      <c r="J34" s="15"/>
      <c r="K34" s="15"/>
      <c r="L34" s="15"/>
      <c r="M34" s="14"/>
      <c r="N34" s="15"/>
      <c r="O34" s="141"/>
      <c r="P34" s="15"/>
      <c r="Q34" s="15"/>
      <c r="R34" s="15"/>
      <c r="S34" s="15"/>
      <c r="T34" s="15"/>
      <c r="U34" s="15"/>
      <c r="V34" s="15"/>
      <c r="W34" s="15"/>
      <c r="X34" s="15"/>
      <c r="Y34" s="15"/>
      <c r="Z34" s="15"/>
      <c r="AA34" s="142"/>
      <c r="AB34" s="15"/>
      <c r="AC34" s="143"/>
      <c r="AD34" s="70"/>
      <c r="AE34" s="71"/>
      <c r="AF34" s="24"/>
      <c r="AI34" s="10"/>
      <c r="AW34" s="31"/>
      <c r="AY34" s="72"/>
      <c r="BB34" s="73"/>
      <c r="BC34" s="73"/>
      <c r="BD34" s="73"/>
      <c r="BE34" s="73"/>
      <c r="BF34" s="73"/>
      <c r="BG34" s="73"/>
      <c r="BH34" s="73"/>
      <c r="BI34" s="73"/>
      <c r="BJ34" s="73"/>
      <c r="BK34" s="73"/>
      <c r="BL34" s="73"/>
      <c r="BM34" s="73"/>
      <c r="BN34" s="73"/>
      <c r="BO34" s="73"/>
      <c r="BP34" s="73"/>
      <c r="BQ34" s="73"/>
      <c r="BR34" s="73"/>
      <c r="BS34" s="73"/>
      <c r="BT34" s="10"/>
      <c r="BU34" s="10"/>
      <c r="BV34" s="10"/>
      <c r="BW34" s="10"/>
      <c r="BX34" s="10"/>
      <c r="BY34" s="10"/>
      <c r="BZ34" s="10"/>
      <c r="CA34" s="10"/>
      <c r="CB34" s="10"/>
      <c r="CC34" s="10"/>
      <c r="CD34" s="74"/>
      <c r="CE34" s="10"/>
      <c r="CF34" s="10"/>
      <c r="CG34" s="10"/>
      <c r="CH34" s="10"/>
      <c r="FI34" s="73"/>
      <c r="FK34" s="73"/>
      <c r="FM34" s="73"/>
    </row>
    <row r="35" s="11" customFormat="true" ht="15.75" hidden="false" customHeight="false" outlineLevel="0" collapsed="false">
      <c r="A35" s="12"/>
      <c r="B35" s="33"/>
      <c r="C35" s="12"/>
      <c r="D35" s="15"/>
      <c r="E35" s="25"/>
      <c r="F35" s="26" t="str">
        <f aca="false">F19</f>
        <v>Fecha</v>
      </c>
      <c r="G35" s="26" t="str">
        <f aca="false">G19</f>
        <v>Hora</v>
      </c>
      <c r="H35" s="27" t="str">
        <f aca="false">H19</f>
        <v>Jor.</v>
      </c>
      <c r="I35" s="28" t="str">
        <f aca="false">I19</f>
        <v>Casa</v>
      </c>
      <c r="J35" s="26"/>
      <c r="K35" s="29" t="str">
        <f aca="false">K19</f>
        <v>Gol</v>
      </c>
      <c r="L35" s="29" t="str">
        <f aca="false">L19</f>
        <v>Gol</v>
      </c>
      <c r="M35" s="29"/>
      <c r="N35" s="30" t="str">
        <f aca="false">N19</f>
        <v>Fuera</v>
      </c>
      <c r="O35" s="144"/>
      <c r="P35" s="21"/>
      <c r="Q35" s="21"/>
      <c r="R35" s="21"/>
      <c r="S35" s="21"/>
      <c r="T35" s="21"/>
      <c r="U35" s="21"/>
      <c r="V35" s="21"/>
      <c r="W35" s="21"/>
      <c r="X35" s="21"/>
      <c r="Y35" s="21"/>
      <c r="Z35" s="21"/>
      <c r="AA35" s="101"/>
      <c r="AB35" s="22"/>
      <c r="AC35" s="22"/>
      <c r="AD35" s="22"/>
      <c r="AE35" s="23"/>
      <c r="AF35" s="24"/>
      <c r="AW35" s="31"/>
      <c r="CH35" s="10"/>
      <c r="CL35" s="24" t="n">
        <v>1</v>
      </c>
      <c r="CM35" s="24" t="n">
        <v>12</v>
      </c>
      <c r="CN35" s="24" t="n">
        <v>18</v>
      </c>
      <c r="CO35" s="24" t="n">
        <v>19</v>
      </c>
      <c r="CP35" s="24" t="n">
        <v>13</v>
      </c>
      <c r="CQ35" s="24" t="n">
        <v>20</v>
      </c>
      <c r="CR35" s="24" t="n">
        <v>21</v>
      </c>
      <c r="CS35" s="24" t="n">
        <v>22</v>
      </c>
      <c r="CT35" s="24" t="n">
        <v>3</v>
      </c>
      <c r="CU35" s="24" t="n">
        <v>2</v>
      </c>
      <c r="CV35" s="24" t="n">
        <v>14</v>
      </c>
      <c r="CW35" s="24" t="n">
        <v>17</v>
      </c>
      <c r="CX35" s="24" t="n">
        <v>16</v>
      </c>
      <c r="CY35" s="24" t="n">
        <v>15</v>
      </c>
      <c r="CZ35" s="24" t="n">
        <v>4</v>
      </c>
      <c r="DA35" s="24" t="n">
        <v>5</v>
      </c>
      <c r="DB35" s="24" t="n">
        <v>10</v>
      </c>
      <c r="DC35" s="24" t="n">
        <v>8</v>
      </c>
      <c r="DD35" s="24" t="n">
        <v>6</v>
      </c>
      <c r="DE35" s="24" t="n">
        <v>11</v>
      </c>
      <c r="DF35" s="24" t="n">
        <v>7</v>
      </c>
      <c r="DG35" s="24" t="n">
        <v>9</v>
      </c>
      <c r="DH35" s="24"/>
      <c r="DI35" s="24"/>
      <c r="EC35" s="10" t="s">
        <v>19</v>
      </c>
      <c r="ED35" s="10" t="s">
        <v>20</v>
      </c>
      <c r="EE35" s="10" t="s">
        <v>21</v>
      </c>
      <c r="EF35" s="10" t="s">
        <v>22</v>
      </c>
      <c r="EG35" s="10" t="s">
        <v>23</v>
      </c>
      <c r="EH35" s="10" t="s">
        <v>24</v>
      </c>
      <c r="EI35" s="10" t="s">
        <v>25</v>
      </c>
      <c r="EJ35" s="10" t="s">
        <v>26</v>
      </c>
      <c r="EK35" s="10" t="s">
        <v>27</v>
      </c>
      <c r="EL35" s="10" t="s">
        <v>28</v>
      </c>
    </row>
    <row r="36" s="11" customFormat="true" ht="15" hidden="false" customHeight="true" outlineLevel="0" collapsed="false">
      <c r="A36" s="32" t="s">
        <v>29</v>
      </c>
      <c r="B36" s="33" t="s">
        <v>45</v>
      </c>
      <c r="C36" s="34" t="n">
        <f aca="false">COUNTIF(Equipos!$C$2:$C$33,MUNDIAL!B36)</f>
        <v>4</v>
      </c>
      <c r="D36" s="35"/>
      <c r="E36" s="219" t="s">
        <v>45</v>
      </c>
      <c r="F36" s="220" t="n">
        <f aca="false">Horarios!C36</f>
        <v>44888.6666666667</v>
      </c>
      <c r="G36" s="221" t="n">
        <f aca="false">Horarios!C36</f>
        <v>44888.6666666667</v>
      </c>
      <c r="H36" s="220" t="s">
        <v>31</v>
      </c>
      <c r="I36" s="222" t="str">
        <f aca="false">A39</f>
        <v>Alemania</v>
      </c>
      <c r="J36" s="223" t="str">
        <f aca="false">VLOOKUP(I36,Equipos!$H$2:$I$33,2,0)</f>
        <v>🇩🇪</v>
      </c>
      <c r="K36" s="224" t="n">
        <v>1</v>
      </c>
      <c r="L36" s="224" t="n">
        <v>2</v>
      </c>
      <c r="M36" s="225" t="str">
        <f aca="false">VLOOKUP(N36,Equipos!$H$2:$I$33,2,0)</f>
        <v>🇯🇵</v>
      </c>
      <c r="N36" s="226" t="str">
        <f aca="false">A40</f>
        <v>Japón</v>
      </c>
      <c r="O36" s="44" t="n">
        <f aca="false">IF(NOT(OR(ISBLANK(K36),ISBLANK(L36))),1,0)</f>
        <v>1</v>
      </c>
      <c r="P36" s="45"/>
      <c r="Q36" s="227" t="str">
        <f aca="false">CONCATENATE("Grupo"," ",B36)</f>
        <v>Grupo E</v>
      </c>
      <c r="R36" s="227"/>
      <c r="S36" s="227"/>
      <c r="T36" s="227"/>
      <c r="U36" s="227"/>
      <c r="V36" s="227"/>
      <c r="W36" s="227"/>
      <c r="X36" s="227"/>
      <c r="Y36" s="227"/>
      <c r="Z36" s="227"/>
      <c r="AA36" s="111"/>
      <c r="AB36" s="48" t="s">
        <v>32</v>
      </c>
      <c r="AC36" s="48"/>
      <c r="AD36" s="48"/>
      <c r="AE36" s="23"/>
      <c r="AF36" s="24"/>
      <c r="AH36" s="11" t="str">
        <f aca="false">CONCATENATE("Auxiliar - ",Q36)</f>
        <v>Auxiliar - Grupo E</v>
      </c>
      <c r="AU36" s="11" t="s">
        <v>33</v>
      </c>
      <c r="AW36" s="31"/>
      <c r="AY36" s="24" t="str">
        <f aca="false">CONCATENATE(Q36," - GOLAVERAGE")</f>
        <v>Grupo E - GOLAVERAGE</v>
      </c>
      <c r="BB36" s="11" t="s">
        <v>35</v>
      </c>
      <c r="BH36" s="11" t="s">
        <v>36</v>
      </c>
      <c r="BN36" s="11" t="s">
        <v>37</v>
      </c>
      <c r="BO36" s="73"/>
      <c r="BP36" s="73"/>
      <c r="BQ36" s="73"/>
      <c r="BR36" s="73"/>
      <c r="BS36" s="73"/>
      <c r="BT36" s="10"/>
      <c r="BU36" s="10"/>
      <c r="BV36" s="10"/>
      <c r="BW36" s="10"/>
      <c r="BX36" s="10"/>
      <c r="BY36" s="10"/>
      <c r="BZ36" s="10"/>
      <c r="CA36" s="10"/>
      <c r="CB36" s="10"/>
      <c r="CC36" s="10"/>
      <c r="CD36" s="10"/>
      <c r="CE36" s="10"/>
      <c r="CF36" s="10"/>
      <c r="CG36" s="10"/>
      <c r="CH36" s="10"/>
      <c r="CI36" s="11" t="s">
        <v>38</v>
      </c>
      <c r="CK36" s="11" t="s">
        <v>39</v>
      </c>
      <c r="CL36" s="11" t="n">
        <f aca="false">SUM(CL38:CL41)</f>
        <v>0</v>
      </c>
      <c r="CM36" s="11" t="n">
        <f aca="false">SUM(CM38:CM41)</f>
        <v>0</v>
      </c>
      <c r="CN36" s="11" t="n">
        <f aca="false">SUM(CN38:CN41)</f>
        <v>0</v>
      </c>
      <c r="CO36" s="11" t="n">
        <f aca="false">SUM(CO38:CO41)</f>
        <v>1</v>
      </c>
      <c r="CP36" s="11" t="n">
        <f aca="false">SUM(CP38:CP41)</f>
        <v>0</v>
      </c>
      <c r="CQ36" s="11" t="n">
        <f aca="false">SUM(CQ38:CQ41)</f>
        <v>2</v>
      </c>
      <c r="CR36" s="11" t="n">
        <f aca="false">SUM(CR38:CR41)</f>
        <v>1</v>
      </c>
      <c r="CS36" s="11" t="n">
        <f aca="false">SUM(CS38:CS41)</f>
        <v>2</v>
      </c>
      <c r="CT36" s="11" t="n">
        <f aca="false">SUM(CT38:CT41)</f>
        <v>0</v>
      </c>
      <c r="CU36" s="11" t="n">
        <f aca="false">SUM(CU38:CU41)</f>
        <v>0</v>
      </c>
      <c r="CV36" s="11" t="n">
        <f aca="false">SUM(CV38:CV41)</f>
        <v>0</v>
      </c>
      <c r="CW36" s="11" t="n">
        <f aca="false">SUM(CW38:CW41)</f>
        <v>1</v>
      </c>
      <c r="CX36" s="11" t="n">
        <f aca="false">SUM(CX38:CX41)</f>
        <v>1</v>
      </c>
      <c r="CY36" s="11" t="n">
        <f aca="false">SUM(CY38:CY41)</f>
        <v>1</v>
      </c>
      <c r="CZ36" s="11" t="n">
        <f aca="false">SUM(CZ38:CZ41)</f>
        <v>0</v>
      </c>
      <c r="DA36" s="11" t="n">
        <f aca="false">SUM(DA38:DA41)</f>
        <v>0</v>
      </c>
      <c r="DB36" s="11" t="n">
        <f aca="false">SUM(DB38:DB41)</f>
        <v>0</v>
      </c>
      <c r="DC36" s="11" t="n">
        <f aca="false">SUM(DC38:DC41)</f>
        <v>0</v>
      </c>
      <c r="DD36" s="11" t="n">
        <f aca="false">SUM(DD38:DD41)</f>
        <v>0</v>
      </c>
      <c r="DE36" s="11" t="n">
        <f aca="false">SUM(DE38:DE41)</f>
        <v>0</v>
      </c>
      <c r="DF36" s="11" t="n">
        <f aca="false">SUM(DF38:DF41)</f>
        <v>0</v>
      </c>
      <c r="DG36" s="11" t="n">
        <f aca="false">SUM(DG38:DG41)</f>
        <v>0</v>
      </c>
      <c r="EC36" s="10" t="n">
        <v>1234</v>
      </c>
      <c r="ED36" s="10" t="n">
        <v>123</v>
      </c>
      <c r="EE36" s="10" t="n">
        <v>12</v>
      </c>
      <c r="EF36" s="10" t="n">
        <v>234</v>
      </c>
      <c r="EG36" s="10" t="n">
        <v>34</v>
      </c>
      <c r="EH36" s="10" t="n">
        <v>23</v>
      </c>
      <c r="EI36" s="10" t="n">
        <v>1</v>
      </c>
      <c r="EJ36" s="10" t="n">
        <v>2</v>
      </c>
      <c r="EK36" s="10" t="n">
        <v>3</v>
      </c>
      <c r="EL36" s="10" t="n">
        <v>4</v>
      </c>
      <c r="FM36" s="73"/>
    </row>
    <row r="37" s="11" customFormat="true" ht="15.75" hidden="false" customHeight="false" outlineLevel="0" collapsed="false">
      <c r="A37" s="32" t="str">
        <f aca="true" t="array" ref="A37:A37">IF(ROWS(A$37:A37)&lt;=$C$36,INDEX(INDIRECT(A$36),SMALL(IF(Nivell=$B$36,ROW(Nivell)-ROW(Equipos!$C$2)+1),ROWS(B$36:B36))),"")</f>
        <v>España</v>
      </c>
      <c r="B37" s="33"/>
      <c r="C37" s="33"/>
      <c r="D37" s="35"/>
      <c r="E37" s="219"/>
      <c r="F37" s="228" t="n">
        <f aca="false">Horarios!C37</f>
        <v>44888.7916666667</v>
      </c>
      <c r="G37" s="229" t="n">
        <f aca="false">Horarios!C37</f>
        <v>44888.7916666667</v>
      </c>
      <c r="H37" s="228" t="s">
        <v>31</v>
      </c>
      <c r="I37" s="230" t="str">
        <f aca="false">A37</f>
        <v>España</v>
      </c>
      <c r="J37" s="231" t="str">
        <f aca="false">VLOOKUP(I37,Equipos!$H$2:$I$33,2,0)</f>
        <v>🇪🇸</v>
      </c>
      <c r="K37" s="232" t="n">
        <v>7</v>
      </c>
      <c r="L37" s="232" t="n">
        <v>0</v>
      </c>
      <c r="M37" s="233" t="str">
        <f aca="false">VLOOKUP(N37,Equipos!$H$2:$I$33,2,0)</f>
        <v>🇨🇷</v>
      </c>
      <c r="N37" s="234" t="str">
        <f aca="false">A38</f>
        <v>Costa Rica</v>
      </c>
      <c r="O37" s="44" t="n">
        <f aca="false">IF(NOT(OR(ISBLANK(K37),ISBLANK(L37))),1,0)</f>
        <v>1</v>
      </c>
      <c r="P37" s="45"/>
      <c r="Q37" s="235" t="s">
        <v>40</v>
      </c>
      <c r="R37" s="236" t="s">
        <v>41</v>
      </c>
      <c r="S37" s="237" t="s">
        <v>42</v>
      </c>
      <c r="T37" s="237" t="s">
        <v>43</v>
      </c>
      <c r="U37" s="237" t="s">
        <v>44</v>
      </c>
      <c r="V37" s="237" t="s">
        <v>45</v>
      </c>
      <c r="W37" s="237" t="s">
        <v>46</v>
      </c>
      <c r="X37" s="237" t="s">
        <v>47</v>
      </c>
      <c r="Y37" s="237" t="s">
        <v>48</v>
      </c>
      <c r="Z37" s="238" t="s">
        <v>49</v>
      </c>
      <c r="AA37" s="111" t="n">
        <f aca="false">COUNTIF(AA38:AA41,"&lt;100")</f>
        <v>0</v>
      </c>
      <c r="AB37" s="48"/>
      <c r="AC37" s="48"/>
      <c r="AD37" s="48"/>
      <c r="AE37" s="23"/>
      <c r="AF37" s="24"/>
      <c r="AG37" s="60" t="s">
        <v>33</v>
      </c>
      <c r="AH37" s="60" t="s">
        <v>50</v>
      </c>
      <c r="AI37" s="60" t="s">
        <v>51</v>
      </c>
      <c r="AJ37" s="60" t="s">
        <v>52</v>
      </c>
      <c r="AK37" s="60" t="s">
        <v>43</v>
      </c>
      <c r="AL37" s="60" t="s">
        <v>44</v>
      </c>
      <c r="AM37" s="60" t="s">
        <v>45</v>
      </c>
      <c r="AN37" s="60" t="s">
        <v>46</v>
      </c>
      <c r="AO37" s="60" t="s">
        <v>47</v>
      </c>
      <c r="AP37" s="60" t="s">
        <v>48</v>
      </c>
      <c r="AQ37" s="60" t="s">
        <v>53</v>
      </c>
      <c r="AR37" s="60" t="s">
        <v>54</v>
      </c>
      <c r="AS37" s="60" t="s">
        <v>50</v>
      </c>
      <c r="AW37" s="31"/>
      <c r="AY37" s="60" t="s">
        <v>51</v>
      </c>
      <c r="AZ37" s="60" t="s">
        <v>56</v>
      </c>
      <c r="BA37" s="60" t="s">
        <v>57</v>
      </c>
      <c r="BB37" s="60" t="s">
        <v>58</v>
      </c>
      <c r="BC37" s="60" t="s">
        <v>59</v>
      </c>
      <c r="BD37" s="60" t="str">
        <f aca="false">AY38</f>
        <v>España</v>
      </c>
      <c r="BE37" s="60" t="str">
        <f aca="false">AY39</f>
        <v>Costa Rica</v>
      </c>
      <c r="BF37" s="60" t="str">
        <f aca="false">AY40</f>
        <v>Alemania</v>
      </c>
      <c r="BG37" s="60" t="str">
        <f aca="false">AY41</f>
        <v>Japón</v>
      </c>
      <c r="BH37" s="60" t="s">
        <v>58</v>
      </c>
      <c r="BI37" s="60" t="s">
        <v>59</v>
      </c>
      <c r="BJ37" s="60" t="str">
        <f aca="false">BD37</f>
        <v>España</v>
      </c>
      <c r="BK37" s="60" t="str">
        <f aca="false">BE37</f>
        <v>Costa Rica</v>
      </c>
      <c r="BL37" s="60" t="str">
        <f aca="false">BF37</f>
        <v>Alemania</v>
      </c>
      <c r="BM37" s="60" t="str">
        <f aca="false">BG37</f>
        <v>Japón</v>
      </c>
      <c r="BN37" s="60" t="s">
        <v>58</v>
      </c>
      <c r="BO37" s="60" t="s">
        <v>59</v>
      </c>
      <c r="BP37" s="60" t="str">
        <f aca="false">BD37</f>
        <v>España</v>
      </c>
      <c r="BQ37" s="60" t="str">
        <f aca="false">BE37</f>
        <v>Costa Rica</v>
      </c>
      <c r="BR37" s="60" t="str">
        <f aca="false">BF37</f>
        <v>Alemania</v>
      </c>
      <c r="BS37" s="60" t="str">
        <f aca="false">BG37</f>
        <v>Japón</v>
      </c>
      <c r="BT37" s="10"/>
      <c r="BU37" s="61"/>
      <c r="BV37" s="61" t="s">
        <v>60</v>
      </c>
      <c r="BW37" s="61"/>
      <c r="BX37" s="61" t="s">
        <v>62</v>
      </c>
      <c r="BY37" s="61"/>
      <c r="BZ37" s="10"/>
      <c r="CA37" s="61"/>
      <c r="CB37" s="61" t="s">
        <v>51</v>
      </c>
      <c r="CC37" s="61" t="s">
        <v>52</v>
      </c>
      <c r="CD37" s="61" t="s">
        <v>63</v>
      </c>
      <c r="CE37" s="61" t="s">
        <v>53</v>
      </c>
      <c r="CF37" s="61" t="s">
        <v>64</v>
      </c>
      <c r="CG37" s="61"/>
      <c r="CH37" s="10"/>
      <c r="CK37" s="11" t="s">
        <v>65</v>
      </c>
      <c r="CL37" s="11" t="s">
        <v>66</v>
      </c>
      <c r="CM37" s="11" t="s">
        <v>67</v>
      </c>
      <c r="CN37" s="11" t="s">
        <v>68</v>
      </c>
      <c r="CO37" s="11" t="s">
        <v>69</v>
      </c>
      <c r="CP37" s="11" t="s">
        <v>70</v>
      </c>
      <c r="CQ37" s="11" t="s">
        <v>71</v>
      </c>
      <c r="CR37" s="11" t="s">
        <v>72</v>
      </c>
      <c r="CS37" s="11" t="s">
        <v>73</v>
      </c>
      <c r="CT37" s="11" t="s">
        <v>68</v>
      </c>
      <c r="CU37" s="11" t="s">
        <v>68</v>
      </c>
      <c r="CV37" s="11" t="s">
        <v>69</v>
      </c>
      <c r="CW37" s="11" t="s">
        <v>72</v>
      </c>
      <c r="CX37" s="11" t="s">
        <v>71</v>
      </c>
      <c r="CY37" s="11" t="s">
        <v>71</v>
      </c>
      <c r="CZ37" s="11" t="s">
        <v>70</v>
      </c>
      <c r="DA37" s="11" t="s">
        <v>67</v>
      </c>
      <c r="DB37" s="11" t="s">
        <v>72</v>
      </c>
      <c r="DC37" s="11" t="s">
        <v>71</v>
      </c>
      <c r="DD37" s="11" t="s">
        <v>69</v>
      </c>
      <c r="DE37" s="11" t="s">
        <v>72</v>
      </c>
      <c r="DF37" s="11" t="s">
        <v>69</v>
      </c>
      <c r="DG37" s="11" t="s">
        <v>71</v>
      </c>
      <c r="EC37" s="10" t="n">
        <v>1</v>
      </c>
      <c r="ED37" s="10" t="n">
        <v>1</v>
      </c>
      <c r="EE37" s="10" t="n">
        <v>1</v>
      </c>
      <c r="EF37" s="10" t="n">
        <v>2</v>
      </c>
      <c r="EG37" s="10" t="n">
        <v>3</v>
      </c>
      <c r="EH37" s="10" t="n">
        <v>2</v>
      </c>
      <c r="EI37" s="10" t="n">
        <v>1</v>
      </c>
      <c r="EJ37" s="10" t="n">
        <v>2</v>
      </c>
      <c r="EK37" s="10" t="n">
        <v>3</v>
      </c>
      <c r="EL37" s="10" t="n">
        <v>4</v>
      </c>
      <c r="FI37" s="60"/>
      <c r="FK37" s="60"/>
      <c r="FM37" s="60"/>
    </row>
    <row r="38" s="11" customFormat="true" ht="15" hidden="false" customHeight="false" outlineLevel="0" collapsed="false">
      <c r="A38" s="32" t="str">
        <f aca="true" t="array" ref="A38:A38">IF(ROWS(A$37:A38)&lt;=$C$36,INDEX(INDIRECT(A$36),SMALL(IF(Nivell=$B$36,ROW(Nivell)-ROW(Equipos!$C$2)+1),ROWS(B$36:B37))),"")</f>
        <v>Costa Rica</v>
      </c>
      <c r="B38" s="33"/>
      <c r="C38" s="62"/>
      <c r="D38" s="35"/>
      <c r="E38" s="219"/>
      <c r="F38" s="228" t="n">
        <f aca="false">Horarios!C38</f>
        <v>44892.5416666667</v>
      </c>
      <c r="G38" s="229" t="n">
        <f aca="false">Horarios!C38</f>
        <v>44892.5416666667</v>
      </c>
      <c r="H38" s="228" t="s">
        <v>74</v>
      </c>
      <c r="I38" s="230" t="str">
        <f aca="false">A40</f>
        <v>Japón</v>
      </c>
      <c r="J38" s="231" t="str">
        <f aca="false">VLOOKUP(I38,Equipos!$H$2:$I$33,2,0)</f>
        <v>🇯🇵</v>
      </c>
      <c r="K38" s="232" t="n">
        <v>0</v>
      </c>
      <c r="L38" s="232" t="n">
        <v>1</v>
      </c>
      <c r="M38" s="233" t="str">
        <f aca="false">VLOOKUP(N38,Equipos!$H$2:$I$33,2,0)</f>
        <v>🇨🇷</v>
      </c>
      <c r="N38" s="234" t="str">
        <f aca="false">A38</f>
        <v>Costa Rica</v>
      </c>
      <c r="O38" s="44" t="n">
        <f aca="false">IF(NOT(OR(ISBLANK(K38),ISBLANK(L38))),1,0)</f>
        <v>1</v>
      </c>
      <c r="P38" s="45"/>
      <c r="Q38" s="239" t="n">
        <v>1</v>
      </c>
      <c r="R38" s="240" t="str">
        <f aca="false">VLOOKUP(Q38,$AG$38:$AI$41,3,0)</f>
        <v>Japón</v>
      </c>
      <c r="S38" s="241" t="n">
        <f aca="false">VLOOKUP(R38,$AI$38:$AR$41,2,0)</f>
        <v>6</v>
      </c>
      <c r="T38" s="241" t="n">
        <f aca="false">VLOOKUP($R38,$AI$38:$AR$41,3,0)</f>
        <v>3</v>
      </c>
      <c r="U38" s="241" t="n">
        <f aca="false">VLOOKUP($R38,$AI$38:$AR$41,4,0)</f>
        <v>2</v>
      </c>
      <c r="V38" s="241" t="n">
        <f aca="false">VLOOKUP($R38,$AI$38:$AR$41,5,0)</f>
        <v>0</v>
      </c>
      <c r="W38" s="241" t="n">
        <f aca="false">VLOOKUP($R38,$AI$38:$AR$41,6,0)</f>
        <v>1</v>
      </c>
      <c r="X38" s="241" t="n">
        <f aca="false">VLOOKUP($R38,$AI$38:$AR$41,7,0)</f>
        <v>4</v>
      </c>
      <c r="Y38" s="241" t="n">
        <f aca="false">VLOOKUP($R38,$AI$38:$AR$41,8,0)</f>
        <v>3</v>
      </c>
      <c r="Z38" s="242" t="n">
        <f aca="false">VLOOKUP($R38,$AI$38:$AR$41,9,0)</f>
        <v>1</v>
      </c>
      <c r="AA38" s="67" t="n">
        <f aca="false">IF(SUM($AK$38:$AK$41)=12,MIN(ABS(BY37-BY38),ABS(BY38-BY39)),100)</f>
        <v>2191999999.97</v>
      </c>
      <c r="AB38" s="68" t="str">
        <f aca="false">IF(AND(AA38&gt;=0,AA38&lt;90),VLOOKUP(Q38,$BU$38:$BV$41,2,0),"")</f>
        <v/>
      </c>
      <c r="AC38" s="69"/>
      <c r="AD38" s="70"/>
      <c r="AE38" s="71"/>
      <c r="AF38" s="24" t="n">
        <f aca="false">VLOOKUP($R38,$AI$38:$AR$41,10,0)</f>
        <v>6675210499.8</v>
      </c>
      <c r="AG38" s="11" t="n">
        <f aca="false">RANK(AU38,$AU$38:$AU$41)</f>
        <v>2</v>
      </c>
      <c r="AH38" s="11" t="n">
        <f aca="false">RANK(AR38,$AR$38:$AR$41)</f>
        <v>2</v>
      </c>
      <c r="AI38" s="10" t="str">
        <f aca="false">A37</f>
        <v>España</v>
      </c>
      <c r="AJ38" s="11" t="n">
        <f aca="false">AL38*3+AM38*1+AN38*0</f>
        <v>4</v>
      </c>
      <c r="AK38" s="11" t="n">
        <f aca="false">COUNTIFS($I$4:$I$65,AI38,$K$4:$K$65,"&lt;&gt;",$L$4:$L$65,"&lt;&gt;")+COUNTIFS($N$4:$N$65,AI38,$L$4:$L$65,"&lt;&gt;",$K$4:$K$65,"&lt;&gt;")</f>
        <v>3</v>
      </c>
      <c r="AL38" s="11" t="n">
        <f aca="false" t="array" ref="AL38:AL38">SUM(($I$4:$I$65=AI38)*($K$4:$K$65&lt;&gt;"")*($L$4:$L$65&lt;&gt;"")*($K$4:$K$65&gt;$L$4:$L$65),($N$4:$N$65=AI38)*($K$4:$K$65&lt;&gt;"")*($L$4:$L$65&lt;&gt;"")*($K$4:$K$65&lt;$L$4:$L$65))</f>
        <v>1</v>
      </c>
      <c r="AM38" s="11" t="n">
        <f aca="false" t="array" ref="AM38:AM38">SUM(($I$4:$I$65=AI38)*($K$4:$K$65&lt;&gt;"")*($L$4:$L$65&lt;&gt;"")*($K$4:$K$65=$L$4:$L$65),($N$4:$N$65=AI38)*($K$4:$K$65&lt;&gt;"")*($L$4:$L$65&lt;&gt;"")*($K$4:$K$65=$L$4:$L$65))</f>
        <v>1</v>
      </c>
      <c r="AN38" s="11" t="n">
        <f aca="false" t="array" ref="AN38:AN38">SUM(($I$4:$I$65=AI38)*($L$4:$L$65&lt;&gt;"")*($K$4:$K$65&lt;&gt;"")*($K$4:$K$65&lt;$L$4:$L$65),($K$4:$K$65&lt;&gt;"")*($N$4:$N$65=AI38)*($L$4:$L$65&lt;&gt;"")*($K$4:$K$65&gt;$L$4:$L$65))</f>
        <v>1</v>
      </c>
      <c r="AO38" s="11" t="n">
        <f aca="false" t="array" ref="AO38:AO38">SUMIFS($K$4:$K$65,$I$4:$I$65,AI38,$K$4:$K$65,"&lt;&gt;",$L$4:$L$65,"&lt;&gt;")+SUMIFS($L$4:$L$65,$N$4:$N$65,AI38,$K$4:$K$65,"&lt;&gt;",$L$4:$L$65,"&lt;&gt;")</f>
        <v>9</v>
      </c>
      <c r="AP38" s="11" t="n">
        <f aca="false" t="array" ref="AP38:AP38">SUMIFS($K$4:$K$65,$N$4:$N$65,AI38,$K$4:$K$65,"&lt;&gt;",$L$4:$L$65,"&lt;&gt;")+SUMIFS($L$4:$L$65,$I$4:$I$65,AI38,$K$4:$K$65,"&lt;&gt;",$L$4:$L$65,"&lt;&gt;")</f>
        <v>3</v>
      </c>
      <c r="AQ38" s="11" t="n">
        <f aca="false">AO38-AP38</f>
        <v>6</v>
      </c>
      <c r="AR38" s="11" t="n">
        <f aca="false">IF(AK38=0,-($AW$11*VLOOKUP(AI38,Tabla3[[NombreEquipo]:[Rank]],3,0)),AJ38*$AW$4+AQ38*$AW$5+AO38*$AW$6+BA38-($AW$11*VLOOKUP(AI38,Tabla3[[NombreEquipo]:[Rank]],3,0)/100))</f>
        <v>4483210499.83</v>
      </c>
      <c r="AS38" s="11" t="n">
        <f aca="false">AH38</f>
        <v>2</v>
      </c>
      <c r="AU38" s="11" t="n">
        <f aca="false">IFERROR(AR38-VLOOKUP(AI38,$AB$38:$AC$41,2,0),AR38)</f>
        <v>4483210499.83</v>
      </c>
      <c r="AW38" s="31"/>
      <c r="AY38" s="72" t="str">
        <f aca="false">AI38</f>
        <v>España</v>
      </c>
      <c r="AZ38" s="11" t="n">
        <f aca="false">COUNTIF(AJ38:AJ41,AJ38)</f>
        <v>2</v>
      </c>
      <c r="BA38" s="11" t="n">
        <f aca="false">(BB38*$AW$9)+(BH38*$AW$8)+(BN38*$AW$7)</f>
        <v>210500</v>
      </c>
      <c r="BB38" s="73" t="n">
        <f aca="false">RANK(BC38,BC38:BC41,1)</f>
        <v>1</v>
      </c>
      <c r="BC38" s="73" t="n">
        <f aca="false">SUM(IF(AND(AJ38=AJ39,AQ38=AQ39,AO38=AO39),BE38,0),IF(AND(AJ38=AJ40,AQ38=AQ40,AO38=AO40),BF38,0),IF(AND(AJ38=AJ41,AQ38=AQ41,AO38=AO41),BG38,0))</f>
        <v>0</v>
      </c>
      <c r="BD38" s="73" t="n">
        <v>0</v>
      </c>
      <c r="BE38" s="73" t="n">
        <f aca="false" t="array" ref="BE38:BE38">SUMIFS($K$36:$K$41,$I$36:$I$41,$AY38,$K$36:$K$41,"&lt;&gt;",$L$36:$L$41,"&lt;&gt;",$N$36:$N$41,BE37)+SUMIFS($L$36:$L$41,$I$36:$I$41,BE37,$K$36:$K$41,"&lt;&gt;",$L$36:$L$41,"&lt;&gt;",$N$36:$N$41,$AY38)</f>
        <v>7</v>
      </c>
      <c r="BF38" s="73" t="n">
        <f aca="false" t="array" ref="BF38:BF38">SUMIFS($K$36:$K$41,$I$36:$I$41,$AY38,$K$36:$K$41,"&lt;&gt;",$L$36:$L$41,"&lt;&gt;",$N$36:$N$41,BF37)+SUMIFS($L$36:$L$41,$I$36:$I$41,BF37,$K$36:$K$41,"&lt;&gt;",$L$36:$L$41,"&lt;&gt;",$N$36:$N$41,$AY38)</f>
        <v>1</v>
      </c>
      <c r="BG38" s="73" t="n">
        <f aca="false" t="array" ref="BG38:BG38">SUMIFS($K$36:$K$41,$I$36:$I$41,$AY38,$K$36:$K$41,"&lt;&gt;",$L$36:$L$41,"&lt;&gt;",$N$36:$N$41,BG37)+SUMIFS($L$36:$L$41,$I$36:$I$41,BG37,$K$36:$K$41,"&lt;&gt;",$L$36:$L$41,"&lt;&gt;",$N$36:$N$41,$AY38)</f>
        <v>1</v>
      </c>
      <c r="BH38" s="73" t="n">
        <f aca="false">RANK(BI38,BI38:BI41,1)</f>
        <v>1</v>
      </c>
      <c r="BI38" s="73" t="n">
        <f aca="false">SUM(IF(AND(AJ38=AJ39,AQ38=AQ39,AO38=AO39),BK38,0),IF(AND(AJ38=AJ40,AQ38=AQ40,AO38=AO40),BL38,0),IF(AND(AJ38=AJ41,AQ38=AQ41,AO38=AO41),BM38,0))</f>
        <v>0</v>
      </c>
      <c r="BJ38" s="73" t="n">
        <v>0</v>
      </c>
      <c r="BK38" s="73" t="n">
        <f aca="false">BE38-BD39</f>
        <v>7</v>
      </c>
      <c r="BL38" s="73" t="n">
        <f aca="false">BF38-BD40</f>
        <v>0</v>
      </c>
      <c r="BM38" s="73" t="n">
        <f aca="false">BG38-BD41</f>
        <v>-1</v>
      </c>
      <c r="BN38" s="73" t="n">
        <f aca="false">RANK(BO38,BO38:BO41,1)</f>
        <v>1</v>
      </c>
      <c r="BO38" s="73" t="n">
        <f aca="false">SUM(IF(AND(AJ38=AJ39,AQ38=AQ39,AO38=AO39),BQ38,0),IF(AND(AJ38=AJ40,AQ38=AQ40,AO38=AO40),BR38,0),IF(AND(AJ38=AJ41,AQ38=AQ41,AO38=AO41),BS38,0))</f>
        <v>0</v>
      </c>
      <c r="BP38" s="73" t="n">
        <v>0</v>
      </c>
      <c r="BQ38" s="73" t="n">
        <f aca="false" t="array" ref="BQ38:BQ38">SUM((I$4:I$49=AY38)*(N$4:N$49=BQ37)*(K$4:K$49&lt;&gt;"")*(L$4:L$49&lt;&gt;"")*(K$4:K$49&gt;L$4:L$49)*3,(N$4:N$49=AY38)*(I$4:I$49=BQ37)*(K$4:K$49&lt;&gt;"")*(L$4:L$49&lt;&gt;"")*(K$4:K$49=L$4:L$49)*1,(N$4:N$49=AY38)*(I$4:I$49=BQ37)*(K$4:K$49&lt;&gt;"")*(L$4:L$49&lt;&gt;"")*(K$4:K$49&lt;L$4:L$49)*3,(I$4:I$49=AY38)*(N$4:N$49=BQ37)*(K$4:K$49&lt;&gt;"")*(L$4:L$49&lt;&gt;"")*(K$4:K$49=L$4:L$49)*1)</f>
        <v>3</v>
      </c>
      <c r="BR38" s="73" t="n">
        <f aca="false" t="array" ref="BR38:BR38">SUM((I$4:I$49=AY38)*(N$4:N$49=BR37)*(K$4:K$49&lt;&gt;"")*(L$4:L$49&lt;&gt;"")*(K$4:K$49&gt;L$4:L$49)*3,(N$4:N$49=AY38)*(I$4:I$49=BR37)*(K$4:K$49&lt;&gt;"")*(L$4:L$49&lt;&gt;"")*(K$4:K$49=L$4:L$49)*1,(N$4:N$49=AY38)*(I$4:I$49=BR37)*(K$4:K$49&lt;&gt;"")*(L$4:L$49&lt;&gt;"")*(K$4:K$49&lt;L$4:L$49)*3,(I$4:I$49=AY38)*(N$4:N$49=BR37)*(K$4:K$49&lt;&gt;"")*(L$4:L$49&lt;&gt;"")*(K$4:K$49=L$4:L$49)*1)</f>
        <v>1</v>
      </c>
      <c r="BS38" s="73" t="n">
        <f aca="false" t="array" ref="BS38:BS38">SUM((I$4:I$49=AY38)*(N$4:N$49=BS37)*(K$4:K$49&lt;&gt;"")*(L$4:L$49&lt;&gt;"")*(K$4:K$49&gt;L$4:L$49)*3,(N$4:N$49=AY38)*(I$4:I$49=BS37)*(K$4:K$49&lt;&gt;"")*(L$4:L$49&lt;&gt;"")*(K$4:K$49=L$4:L$49)*1,(N$4:N$49=AY38)*(I$4:I$49=BS37)*(K$4:K$49&lt;&gt;"")*(L$4:L$49&lt;&gt;"")*(K$4:K$49&lt;L$4:L$49)*3,(I$4:I$49=AY38)*(N$4:N$49=BS37)*(K$4:K$49&lt;&gt;"")*(L$4:L$49&lt;&gt;"")*(K$4:K$49=L$4:L$49)*1)</f>
        <v>0</v>
      </c>
      <c r="BT38" s="10" t="n">
        <v>1</v>
      </c>
      <c r="BU38" s="10" t="n">
        <f aca="false">RANK(BW38,$BW$38:$BW$41)</f>
        <v>2</v>
      </c>
      <c r="BV38" s="10" t="str">
        <f aca="false">A37</f>
        <v>España</v>
      </c>
      <c r="BW38" s="10" t="n">
        <f aca="false">IF(AK38=0,-($AW$11*VLOOKUP(AI38,Tabla3[[NombreEquipo]:[Rank]],3,0)),AJ38*$AW$4+BA38+AQ38*$AW$8+AO38*$AW$9+AL38*$AW$10-($AW$11*VLOOKUP(AI38,Tabla3[[NombreEquipo]:[Rank]],3,0)/100))</f>
        <v>4444275099.83</v>
      </c>
      <c r="BX38" s="10" t="str">
        <f aca="false">VLOOKUP(Q38,$AH$38:$AI$41,2,0)</f>
        <v>Japón</v>
      </c>
      <c r="BY38" s="10" t="n">
        <f aca="false">VLOOKUP($BX38,$AI$38:$AR$41,10,0)</f>
        <v>6675210499.8</v>
      </c>
      <c r="BZ38" s="10"/>
      <c r="CA38" s="10" t="n">
        <v>1</v>
      </c>
      <c r="CB38" s="10" t="str">
        <f aca="false">VLOOKUP(CA38,$AH$38:$AI$41,2,0)</f>
        <v>Japón</v>
      </c>
      <c r="CC38" s="10" t="n">
        <f aca="false">VLOOKUP(CB38,$AI$38:$AR$41,2,0)</f>
        <v>6</v>
      </c>
      <c r="CD38" s="74" t="n">
        <f aca="false">IF(SUM($AK$38:$AK$41)=12,MIN(ABS(BY37-BY38),ABS(BY38-BY39)),100)</f>
        <v>2191999999.97</v>
      </c>
      <c r="CE38" s="10" t="n">
        <f aca="false">VLOOKUP($CB38,$AI$38:$AR$41,9,0)</f>
        <v>1</v>
      </c>
      <c r="CF38" s="10" t="n">
        <f aca="false">VLOOKUP($CB38,$AI$38:$AR$41,7,0)</f>
        <v>4</v>
      </c>
      <c r="CG38" s="10"/>
      <c r="CH38" s="10" t="n">
        <f aca="false" t="array" ref="CH38:CH38">IF($CI$38=$CL$37,$EC$37:$EC$40,IF($CI$38=$CM$37,$ED$37:$ED$39,IF(OR($CI$38=$CN$37,$CI$38=$CO$37),$EE$37:$EE$38,$EI$37)))</f>
        <v>1</v>
      </c>
      <c r="CI38" s="11" t="str">
        <f aca="false">IFERROR(HLOOKUP(4,CL36:DI37,2,0),CS37)</f>
        <v>COM_8</v>
      </c>
      <c r="CK38" s="11" t="n">
        <v>1</v>
      </c>
      <c r="CL38" s="11" t="n">
        <f aca="false" t="array" ref="CL38:CL38">IF(AND($CC$38:$CC$41=$CC$38,$CD$38:$CD$41&lt;90,$AQ$38:$AQ$41=$AQ$38,$CF$38:$CF$41=$CF$38),1,0)</f>
        <v>0</v>
      </c>
      <c r="CM38" s="11" t="n">
        <f aca="false" t="array" ref="CM38:CM38">IF(AND($CC$38:$CC$40=$CC$38,$CD$38:$CD$40&lt;90,$CC$38&lt;&gt;$CC$41),1,0)</f>
        <v>0</v>
      </c>
      <c r="CN38" s="11" t="n">
        <f aca="false" t="array" ref="CN38:CN38">IF(AND($CC$38:$CC$39=$CC$38,$CD$38:$CD$39&lt;90,$CC$38&lt;&gt;$CC$40),1,0)</f>
        <v>0</v>
      </c>
      <c r="CO38" s="11" t="n">
        <f aca="false" t="array" ref="CO38:CO38">IF(AND($CC$38:$CC$39=$CC$38,$CD$38:$CD$39&lt;90,$CC$38&lt;&gt;$CC$40),1,0)</f>
        <v>0</v>
      </c>
      <c r="CP38" s="11" t="n">
        <f aca="false" t="array" ref="CP38:CP38">IF(AND($CC$39:$CC$41=$CC$39,$CD$39:$CD$41&lt;90,$CC$38&lt;&gt;$CC$39),1,0)</f>
        <v>0</v>
      </c>
      <c r="CQ38" s="11" t="n">
        <f aca="false" t="array" ref="CQ38:CQ38">IF(AND($CC$38&lt;&gt;$CC$39,$CC$38&lt;&gt;$CC$41),1,0)</f>
        <v>1</v>
      </c>
      <c r="CR38" s="11" t="n">
        <f aca="false" t="array" ref="CR38:CR38">IF(AND($CC$38&lt;&gt;$CC$39,$CC$38&lt;&gt;$CC$41),1,0)</f>
        <v>1</v>
      </c>
      <c r="CS38" s="11" t="n">
        <f aca="false" t="array" ref="CS38:CS38">IF(AND($CC$38&lt;&gt;$CC$39,$CC$38&lt;&gt;$CC$41),1,0)</f>
        <v>1</v>
      </c>
      <c r="CT38" s="11" t="n">
        <f aca="false" t="array" ref="CT38:CT38">IF(AND($CC$38:$CC$41=$CC$38,$CD$38:$CD$41&lt;90,$CE$38:$CE$39=$CE$38,$CE$38&lt;&gt;$CE$40),1,0)</f>
        <v>0</v>
      </c>
      <c r="CU38" s="11" t="n">
        <f aca="false" t="array" ref="CU38:CU38">IF(AND($CC$38:$CC$41=$CC$38,$CD$38:$CD$41&lt;90,$CE$38:$CE$41=$CE$38,$CF$38=$CF$39,$CF$38&lt;&gt;$CF$40),1,0)</f>
        <v>0</v>
      </c>
      <c r="CV38" s="11" t="n">
        <f aca="false" t="array" ref="CV38:CV38">IF(AND($CC$38:$CC$40=$CC$38,$CD$38:$CD$39&lt;90,$CD$40&gt;90),1,0)</f>
        <v>0</v>
      </c>
      <c r="CW38" s="11" t="n">
        <f aca="false" t="array" ref="CW38:CW38">IF(AND($CC$38&lt;&gt;$CC$39,$CC$38&lt;&gt;$CC$40),1,0)</f>
        <v>1</v>
      </c>
      <c r="CX38" s="11" t="n">
        <f aca="false" t="array" ref="CX38:CX38">IF(AND($CC$38&lt;&gt;$CC$39,$CC$38&lt;&gt;$CC$40),1,0)</f>
        <v>1</v>
      </c>
      <c r="CY38" s="11" t="n">
        <f aca="false" t="array" ref="CY38:CY38">IF(AND($CC$38&lt;&gt;$CC$41,$CC$38:$CC$40=$CC$38,$CD$38&gt;90,$CD$39:$CD$40&lt;90),1,0)</f>
        <v>0</v>
      </c>
      <c r="CZ38" s="11" t="n">
        <f aca="false" t="array" ref="CZ38:CZ38">IF(AND($CC$38:$CC$41=$CC$38,$CD$39:$CD$41&lt;90,$CD$38&lt;&gt;$CD$39),1,0)</f>
        <v>0</v>
      </c>
      <c r="DA38" s="11" t="n">
        <f aca="false" t="array" ref="DA38:DA38">IF(AND($CC$38:$CC$41=$CC$38,$CD$38:$CD$40&lt;90,$CD$38&lt;&gt;$CD$41),1,0)</f>
        <v>0</v>
      </c>
      <c r="DB38" s="11" t="n">
        <f aca="false" t="array" ref="DB38:DB38">IF(AND($CC$38:$CC$41=$CC$38,$CD$38:$CD$39&gt;90,$CD$40:$CD$41&lt;90,$CE$38:$CE$41=$CE$38,$CF$38&gt;$CF$39,$CF$38&gt;$CF$40,$CF$38&gt;$CF$41),1,0)</f>
        <v>0</v>
      </c>
      <c r="DC38" s="11" t="n">
        <f aca="false" t="array" ref="DC38:DC38">IF(AND($CC$38:$CC$41=$CC$38,$CD$38&gt;90,$CD$39:$CD$40&lt;90,$CD$41&gt;90,$CE$38:$CE$41=$CE$38,$CF$38&gt;$CF$39,$CF$38&gt;$CF$40,$CF$38&gt;$CF$41),1,0)</f>
        <v>0</v>
      </c>
      <c r="DD38" s="11" t="n">
        <f aca="false" t="array" ref="DD38:DD38">IF(AND($CC$38:$CC$41=$CC$38,$CD$38:$CD$39&lt;90,$CD$40:$CD$41&gt;90,$CE$38:$CE$41=$CE$38,$CF$38=$CF$39,$CF$38&gt;$CF$40,$CF$38&gt;$CF$41),1,0)</f>
        <v>0</v>
      </c>
      <c r="DE38" s="11" t="n">
        <f aca="false" t="array" ref="DE38:DE38">IF(AND($CC$38:$CC$41=$CC$38,$CD$38:$CD$39&gt;90,$CD$40:$CD$41&lt;90,$CE$38:$CE$41=$CE$38,$CF$38&gt;$CF$39,$CF$39:$CF$41=$CF$39),1,0)</f>
        <v>0</v>
      </c>
      <c r="DF38" s="11" t="n">
        <f aca="false" t="array" ref="DF38:DF38">IF(AND($CC$38:$CC$41=$CC$38,$CD$38:$CD$39&lt;90,$CD$40:$CD$41&gt;90,$CE$38:$CE$41=$CE$38,$CF$38:$CF$40=$CF$38,$CF$38&gt;$CF$41),1,0)</f>
        <v>0</v>
      </c>
      <c r="DG38" s="11" t="n">
        <f aca="false" t="array" ref="DG38:DG38">IF(AND($CC$38:$CC$41=$CC$38,$CD$38&gt;90,$CD$41&gt;90,$CD$39:$CD$40&lt;90,$CE$38:$CE$41=$CE$38,$CF$38&gt;$CF$39:$CF$41),1,0)</f>
        <v>0</v>
      </c>
      <c r="EC38" s="10" t="n">
        <v>2</v>
      </c>
      <c r="ED38" s="10" t="n">
        <v>2</v>
      </c>
      <c r="EE38" s="10" t="n">
        <v>2</v>
      </c>
      <c r="EF38" s="10" t="n">
        <v>3</v>
      </c>
      <c r="EG38" s="10" t="n">
        <v>4</v>
      </c>
      <c r="EH38" s="10" t="n">
        <v>3</v>
      </c>
      <c r="EI38" s="10"/>
      <c r="EJ38" s="10"/>
      <c r="EK38" s="10"/>
      <c r="EL38" s="10"/>
      <c r="FI38" s="73"/>
      <c r="FK38" s="73"/>
      <c r="FM38" s="73"/>
    </row>
    <row r="39" s="11" customFormat="true" ht="15" hidden="false" customHeight="false" outlineLevel="0" collapsed="false">
      <c r="A39" s="32" t="str">
        <f aca="true" t="array" ref="A39:A39">IF(ROWS(A$37:A39)&lt;=$C$36,INDEX(INDIRECT(A$36),SMALL(IF(Nivell=$B$36,ROW(Nivell)-ROW(Equipos!$C$2)+1),ROWS(B$36:B38))),"")</f>
        <v>Alemania</v>
      </c>
      <c r="B39" s="33"/>
      <c r="C39" s="75"/>
      <c r="D39" s="35"/>
      <c r="E39" s="219"/>
      <c r="F39" s="228" t="n">
        <f aca="false">Horarios!C39</f>
        <v>44892.9166666667</v>
      </c>
      <c r="G39" s="229" t="n">
        <f aca="false">Horarios!C39</f>
        <v>44892.9166666667</v>
      </c>
      <c r="H39" s="228" t="s">
        <v>74</v>
      </c>
      <c r="I39" s="230" t="str">
        <f aca="false">A37</f>
        <v>España</v>
      </c>
      <c r="J39" s="231" t="str">
        <f aca="false">VLOOKUP(I39,Equipos!$H$2:$I$33,2,0)</f>
        <v>🇪🇸</v>
      </c>
      <c r="K39" s="232" t="n">
        <v>1</v>
      </c>
      <c r="L39" s="232" t="n">
        <v>1</v>
      </c>
      <c r="M39" s="233" t="str">
        <f aca="false">VLOOKUP(N39,Equipos!$H$2:$I$33,2,0)</f>
        <v>🇩🇪</v>
      </c>
      <c r="N39" s="234" t="str">
        <f aca="false">A39</f>
        <v>Alemania</v>
      </c>
      <c r="O39" s="44" t="n">
        <f aca="false">IF(NOT(OR(ISBLANK(K39),ISBLANK(L39))),1,0)</f>
        <v>1</v>
      </c>
      <c r="P39" s="45"/>
      <c r="Q39" s="243" t="n">
        <v>2</v>
      </c>
      <c r="R39" s="77" t="str">
        <f aca="false">VLOOKUP(Q39,$AG$38:$AI$41,3,0)</f>
        <v>España</v>
      </c>
      <c r="S39" s="78" t="n">
        <f aca="false">VLOOKUP(R39,$AI$38:$AR$41,2,0)</f>
        <v>4</v>
      </c>
      <c r="T39" s="78" t="n">
        <f aca="false">VLOOKUP($R39,$AI$38:$AR$41,3,0)</f>
        <v>3</v>
      </c>
      <c r="U39" s="78" t="n">
        <f aca="false">VLOOKUP($R39,$AI$38:$AR$41,4,0)</f>
        <v>1</v>
      </c>
      <c r="V39" s="78" t="n">
        <f aca="false">VLOOKUP($R39,$AI$38:$AR$41,5,0)</f>
        <v>1</v>
      </c>
      <c r="W39" s="78" t="n">
        <f aca="false">VLOOKUP($R39,$AI$38:$AR$41,6,0)</f>
        <v>1</v>
      </c>
      <c r="X39" s="78" t="n">
        <f aca="false">VLOOKUP($R39,$AI$38:$AR$41,7,0)</f>
        <v>9</v>
      </c>
      <c r="Y39" s="78" t="n">
        <f aca="false">VLOOKUP($R39,$AI$38:$AR$41,8,0)</f>
        <v>3</v>
      </c>
      <c r="Z39" s="244" t="n">
        <f aca="false">VLOOKUP($R39,$AI$38:$AR$41,9,0)</f>
        <v>6</v>
      </c>
      <c r="AA39" s="67" t="n">
        <f aca="false">IF(SUM($AK$38:$AK$41)=12,MIN(ABS(BY38-BY39),ABS(BY39-BY40)),100)</f>
        <v>28000000.0199995</v>
      </c>
      <c r="AB39" s="68" t="str">
        <f aca="false">IF(AND(AA39&gt;=0,AA39&lt;90),VLOOKUP(Q39,$BU$38:$BV$41,2,0),"")</f>
        <v/>
      </c>
      <c r="AC39" s="69"/>
      <c r="AD39" s="70"/>
      <c r="AE39" s="71"/>
      <c r="AF39" s="24" t="n">
        <f aca="false">VLOOKUP($R39,$AI$38:$AR$41,10,0)</f>
        <v>4483210499.83</v>
      </c>
      <c r="AG39" s="11" t="n">
        <f aca="false">RANK(AU39,$AU$38:$AU$41)</f>
        <v>4</v>
      </c>
      <c r="AH39" s="11" t="n">
        <f aca="false">RANK(AR39,$AR$38:$AR$41)</f>
        <v>4</v>
      </c>
      <c r="AI39" s="10" t="str">
        <f aca="false">A38</f>
        <v>Costa Rica</v>
      </c>
      <c r="AJ39" s="11" t="n">
        <f aca="false">AL39*3+AM39*1+AN39*0</f>
        <v>3</v>
      </c>
      <c r="AK39" s="11" t="n">
        <f aca="false">COUNTIFS($I$4:$I$65,AI39,$K$4:$K$65,"&lt;&gt;",$L$4:$L$65,"&lt;&gt;")+COUNTIFS($N$4:$N$65,AI39,$L$4:$L$65,"&lt;&gt;",$K$4:$K$65,"&lt;&gt;")</f>
        <v>3</v>
      </c>
      <c r="AL39" s="11" t="n">
        <f aca="false" t="array" ref="AL39:AL39">SUM(($I$4:$I$65=AI39)*($K$4:$K$65&lt;&gt;"")*($L$4:$L$65&lt;&gt;"")*($K$4:$K$65&gt;$L$4:$L$65),($N$4:$N$65=AI39)*($K$4:$K$65&lt;&gt;"")*($L$4:$L$65&lt;&gt;"")*($K$4:$K$65&lt;$L$4:$L$65))</f>
        <v>1</v>
      </c>
      <c r="AM39" s="11" t="n">
        <f aca="false" t="array" ref="AM39:AM39">SUM(($I$4:$I$65=AI39)*($K$4:$K$65&lt;&gt;"")*($L$4:$L$65&lt;&gt;"")*($K$4:$K$65=$L$4:$L$65),($N$4:$N$65=AI39)*($K$4:$K$65&lt;&gt;"")*($L$4:$L$65&lt;&gt;"")*($K$4:$K$65=$L$4:$L$65))</f>
        <v>0</v>
      </c>
      <c r="AN39" s="11" t="n">
        <f aca="false" t="array" ref="AN39:AN39">SUM(($I$4:$I$65=AI39)*($L$4:$L$65&lt;&gt;"")*($K$4:$K$65&lt;&gt;"")*($K$4:$K$65&lt;$L$4:$L$65),($K$4:$K$65&lt;&gt;"")*($N$4:$N$65=AI39)*($L$4:$L$65&lt;&gt;"")*($K$4:$K$65&gt;$L$4:$L$65))</f>
        <v>2</v>
      </c>
      <c r="AO39" s="11" t="n">
        <f aca="false" t="array" ref="AO39:AO39">SUMIFS($K$4:$K$65,$I$4:$I$65,AI39,$K$4:$K$65,"&lt;&gt;",$L$4:$L$65,"&lt;&gt;")+SUMIFS($L$4:$L$65,$N$4:$N$65,AI39,$K$4:$K$65,"&lt;&gt;",$L$4:$L$65,"&lt;&gt;")</f>
        <v>3</v>
      </c>
      <c r="AP39" s="11" t="n">
        <f aca="false" t="array" ref="AP39:AP39">SUMIFS($K$4:$K$65,$N$4:$N$65,AI39,$K$4:$K$65,"&lt;&gt;",$L$4:$L$65,"&lt;&gt;")+SUMIFS($L$4:$L$65,$I$4:$I$65,AI39,$K$4:$K$65,"&lt;&gt;",$L$4:$L$65,"&lt;&gt;")</f>
        <v>11</v>
      </c>
      <c r="AQ39" s="11" t="n">
        <f aca="false">AO39-AP39</f>
        <v>-8</v>
      </c>
      <c r="AR39" s="11" t="n">
        <f aca="false">IF(AK39=0,-($AW$11*VLOOKUP(AI39,Tabla3[[NombreEquipo]:[Rank]],3,0)),AJ39*$AW$4+AQ39*$AW$5+AO39*$AW$6+BA39-($AW$11*VLOOKUP(AI39,Tabla3[[NombreEquipo]:[Rank]],3,0)/100))</f>
        <v>3296210499.82</v>
      </c>
      <c r="AS39" s="11" t="n">
        <f aca="false">AH39</f>
        <v>4</v>
      </c>
      <c r="AU39" s="11" t="n">
        <f aca="false">IFERROR(AR39-VLOOKUP(AI39,$AB$38:$AC$41,2,0),AR39)</f>
        <v>3296210499.82</v>
      </c>
      <c r="AW39" s="31"/>
      <c r="AY39" s="72" t="str">
        <f aca="false">AI39</f>
        <v>Costa Rica</v>
      </c>
      <c r="AZ39" s="11" t="n">
        <f aca="false">COUNTIF(AJ38:AJ41,AJ39)</f>
        <v>1</v>
      </c>
      <c r="BA39" s="11" t="n">
        <f aca="false">(BB39*$AW$9)+(BH39*$AW$8)+(BN39*$AW$7)</f>
        <v>210500</v>
      </c>
      <c r="BB39" s="73" t="n">
        <f aca="false">RANK(BC39,BC38:BC41,1)</f>
        <v>1</v>
      </c>
      <c r="BC39" s="73" t="n">
        <f aca="false">SUM(IF(AND(AJ39=AJ40,AQ39=AQ40,AO39=AO40),BF39,0),IF(AND(AJ39=AJ41,AQ39=AQ41,AO39=AO41),BG39,0),IF(AND(AJ39=AJ38,AQ39=AQ38,AO39=AO38),BD39,0))</f>
        <v>0</v>
      </c>
      <c r="BD39" s="73" t="n">
        <f aca="false" t="array" ref="BD39:BD39">SUMIFS($K$36:$K$41,$I$36:$I$41,$AY39,$K$36:$K$41,"&lt;&gt;",$L$36:$L$41,"&lt;&gt;",$N$36:$N$41,BD37)+SUMIFS($L$36:$L$41,$I$36:$I$41,BD37,$K$36:$K$41,"&lt;&gt;",$L$36:$L$41,"&lt;&gt;",$N$36:$N$41,$AY39)</f>
        <v>0</v>
      </c>
      <c r="BE39" s="73" t="n">
        <v>0</v>
      </c>
      <c r="BF39" s="73" t="n">
        <f aca="false" t="array" ref="BF39:BF39">SUMIFS($K$36:$K$41,$I$36:$I$41,$AY39,$K$36:$K$41,"&lt;&gt;",$L$36:$L$41,"&lt;&gt;",$N$36:$N$41,BF37)+SUMIFS($L$36:$L$41,$I$36:$I$41,BF37,$K$36:$K$41,"&lt;&gt;",$L$36:$L$41,"&lt;&gt;",$N$36:$N$41,$AY39)</f>
        <v>2</v>
      </c>
      <c r="BG39" s="73" t="n">
        <f aca="false" t="array" ref="BG39:BG39">SUMIFS($K$36:$K$41,$I$36:$I$41,$AY39,$K$36:$K$41,"&lt;&gt;",$L$36:$L$41,"&lt;&gt;",$N$36:$N$41,BG37)+SUMIFS($L$36:$L$41,$I$36:$I$41,BG37,$K$36:$K$41,"&lt;&gt;",$L$36:$L$41,"&lt;&gt;",$N$36:$N$41,$AY39)</f>
        <v>1</v>
      </c>
      <c r="BH39" s="73" t="n">
        <f aca="false">RANK(BI39,BI38:BI41,1)</f>
        <v>1</v>
      </c>
      <c r="BI39" s="73" t="n">
        <f aca="false">SUM(IF(AND(AJ39=AJ40,AQ39=AQ40,AO39=AO40),BL39,0),IF(AND(AJ39=AJ41,AQ39=AQ41,AO39=AO41),BM39,0),IF(AND(AJ39=AJ38,AQ39=AQ38,AO39=AO38),BJ39,0))</f>
        <v>0</v>
      </c>
      <c r="BJ39" s="73" t="n">
        <f aca="false">BD39-BE38</f>
        <v>-7</v>
      </c>
      <c r="BK39" s="73" t="n">
        <v>0</v>
      </c>
      <c r="BL39" s="73" t="n">
        <f aca="false">BF39-BE40</f>
        <v>-2</v>
      </c>
      <c r="BM39" s="73" t="n">
        <f aca="false">BG39-BE41</f>
        <v>1</v>
      </c>
      <c r="BN39" s="73" t="n">
        <f aca="false">RANK(BO39,BO38:BO41,1)</f>
        <v>1</v>
      </c>
      <c r="BO39" s="73" t="n">
        <f aca="false">SUM(IF(AND(AJ39=AJ40,AQ39=AQ40,AO39=AO40),BR39,0),IF(AND(AJ39=AJ41,AQ39=AQ41,AO39=AO41),BS39,0),IF(AND(AJ39=AJ38,AQ39=AQ38,AO39=AO38),BP39,0))</f>
        <v>0</v>
      </c>
      <c r="BP39" s="73" t="n">
        <f aca="false" t="array" ref="BP39:BP39">SUM((I$4:I$49=AY39)*(N$4:N$49=BP37)*(K$4:K$49&lt;&gt;"")*(L$4:L$49&lt;&gt;"")*(K$4:K$49&gt;L$4:L$49)*3,(N$4:N$49=AY39)*(I$4:I$49=BP37)*(K$4:K$49&lt;&gt;"")*(L$4:L$49&lt;&gt;"")*(K$4:K$49=L$4:L$49)*1,(N$4:N$49=AY39)*(I$4:I$49=BP37)*(K$4:K$49&lt;&gt;"")*(L$4:L$49&lt;&gt;"")*(K$4:K$49&lt;L$4:L$49)*3,(I$4:I$49=AY39)*(N$4:N$49=BP37)*(K$4:K$49&lt;&gt;"")*(L$4:L$49&lt;&gt;"")*(K$4:K$49=L$4:L$49)*1)</f>
        <v>0</v>
      </c>
      <c r="BQ39" s="73" t="n">
        <v>0</v>
      </c>
      <c r="BR39" s="73" t="n">
        <f aca="false" t="array" ref="BR39:BR39">SUM((I$4:I$49=AY39)*(N$4:N$49=BR37)*(K$4:K$49&lt;&gt;"")*(L$4:L$49&lt;&gt;"")*(K$4:K$49&gt;L$4:L$49)*3,(N$4:N$49=AY39)*(I$4:I$49=BR37)*(K$4:K$49&lt;&gt;"")*(L$4:L$49&lt;&gt;"")*(K$4:K$49=L$4:L$49)*1,(N$4:N$49=AY39)*(I$4:I$49=BR37)*(K$4:K$49&lt;&gt;"")*(L$4:L$49&lt;&gt;"")*(K$4:K$49&lt;L$4:L$49)*3,(I$4:I$49=AY39)*(N$4:N$49=BR37)*(K$4:K$49&lt;&gt;"")*(L$4:L$49&lt;&gt;"")*(K$4:K$49=L$4:L$49)*1)</f>
        <v>0</v>
      </c>
      <c r="BS39" s="73" t="n">
        <f aca="false" t="array" ref="BS39:BS39">SUM((I$4:I$49=AY39)*(N$4:N$49=BS37)*(K$4:K$49&lt;&gt;"")*(L$4:L$49&lt;&gt;"")*(K$4:K$49&gt;L$4:L$49)*3,(N$4:N$49=AY39)*(I$4:I$49=BS37)*(K$4:K$49&lt;&gt;"")*(L$4:L$49&lt;&gt;"")*(K$4:K$49=L$4:L$49)*1,(N$4:N$49=AY39)*(I$4:I$49=BS37)*(K$4:K$49&lt;&gt;"")*(L$4:L$49&lt;&gt;"")*(K$4:K$49&lt;L$4:L$49)*3,(I$4:I$49=AY39)*(N$4:N$49=BS37)*(K$4:K$49&lt;&gt;"")*(L$4:L$49&lt;&gt;"")*(K$4:K$49=L$4:L$49)*1)</f>
        <v>3</v>
      </c>
      <c r="BT39" s="10" t="n">
        <v>2</v>
      </c>
      <c r="BU39" s="10" t="n">
        <f aca="false">RANK(BW39,$BW$38:$BW$41)</f>
        <v>4</v>
      </c>
      <c r="BV39" s="10" t="str">
        <f aca="false">A38</f>
        <v>Costa Rica</v>
      </c>
      <c r="BW39" s="10" t="n">
        <f aca="false">IF(AK39=0,-($AW$11*VLOOKUP(AI39,Tabla3[[NombreEquipo]:[Rank]],3,0)),AJ39*$AW$4+BA39+AQ39*$AW$8+AO39*$AW$9+AL39*$AW$10-($AW$11*VLOOKUP(AI39,Tabla3[[NombreEquipo]:[Rank]],3,0)/100))</f>
        <v>3333132099.82</v>
      </c>
      <c r="BX39" s="10" t="str">
        <f aca="false">VLOOKUP(Q39,$AH$38:$AI$41,2,0)</f>
        <v>España</v>
      </c>
      <c r="BY39" s="10" t="n">
        <f aca="false">VLOOKUP($BX39,$AI$38:$AR$41,10,0)</f>
        <v>4483210499.83</v>
      </c>
      <c r="BZ39" s="10"/>
      <c r="CA39" s="10" t="n">
        <v>2</v>
      </c>
      <c r="CB39" s="10" t="str">
        <f aca="false">VLOOKUP(CA39,$AH$38:$AI$41,2,0)</f>
        <v>España</v>
      </c>
      <c r="CC39" s="10" t="n">
        <f aca="false">VLOOKUP(CB39,$AI$38:$AR$41,2,0)</f>
        <v>4</v>
      </c>
      <c r="CD39" s="74" t="n">
        <f aca="false">IF(SUM($AK$38:$AK$41)=12,MIN(ABS(BY38-BY39),ABS(BY39-BY40)),100)</f>
        <v>28000000.0199995</v>
      </c>
      <c r="CE39" s="10" t="n">
        <f aca="false">VLOOKUP($CB39,$AI$38:$AR$41,9,0)</f>
        <v>6</v>
      </c>
      <c r="CF39" s="10" t="n">
        <f aca="false">VLOOKUP($CB39,$AI$38:$AR$41,7,0)</f>
        <v>9</v>
      </c>
      <c r="CG39" s="10"/>
      <c r="CH39" s="10" t="n">
        <f aca="false" t="array" ref="CH39:CH39">IF($CI$38=$CL$37,$EC$37:$EC$40,IF($CI$38=$CM$37,$ED$37:$ED$39,IF(OR($CI$38=$CN$37,$CI$38=$CO$37),$EE$37:$EE$38,IF($CI$38=$CP$37,$EF$37:$EF$39,(IF($CI$38=$CQ$37,$EH$37:$EH$38,$EJ$37))))))</f>
        <v>2</v>
      </c>
      <c r="CK39" s="11" t="n">
        <v>2</v>
      </c>
      <c r="CL39" s="11" t="n">
        <f aca="false" t="array" ref="CL39:CL39">IF(AND($CC$38:$CC$41=$CC$39,$CD$38:$CD$41&lt;90,$AQ$38:$AQ$41=$AQ$39,$CF$38:$CF$41=$CF$39),1,0)</f>
        <v>0</v>
      </c>
      <c r="CM39" s="11" t="n">
        <f aca="false" t="array" ref="CM39:CM39">IF(AND($CC$38:$CC$40=$CC$39,$CD$38:$CD$40&lt;90,$CC$39&lt;&gt;$CC$41),1,0)</f>
        <v>0</v>
      </c>
      <c r="CN39" s="11" t="n">
        <f aca="false" t="array" ref="CN39:CN39">IF(AND($CC$38:$CC$39=$CC$38,$CD$38:$CD$39&lt;90,$CC$38&lt;&gt;$CC$40),1,0)</f>
        <v>0</v>
      </c>
      <c r="CO39" s="11" t="n">
        <f aca="false" t="array" ref="CO39:CO39">IF(AND($CC$38:$CC$39=$CC$38,$CD$38:$CD$39&lt;90,$CC$38&lt;&gt;$CC$40),1,0)</f>
        <v>0</v>
      </c>
      <c r="CP39" s="11" t="n">
        <f aca="false" t="array" ref="CP39:CP39">IF(AND($CC$39:$CC$41=$CC$39,$CD$39:$CD$41&lt;90,$CC$38&lt;&gt;$CC$39),1,0)</f>
        <v>0</v>
      </c>
      <c r="CQ39" s="11" t="n">
        <f aca="false" t="array" ref="CQ39:CQ39">IF(AND($CC$39:$CC$40=$CC$39,$CD$39:$CD$40&lt;90,$CC$39&lt;&gt;$CC$38,$CC$39&lt;&gt;$CC$41),1,0)</f>
        <v>0</v>
      </c>
      <c r="CR39" s="11" t="n">
        <f aca="false" t="array" ref="CR39:CR39">IF(AND($CC$39&lt;&gt;$CC$38,$CC$39&lt;&gt;$CC$40),1,0)</f>
        <v>0</v>
      </c>
      <c r="CS39" s="11" t="n">
        <f aca="false" t="array" ref="CS39:CS39">IF(AND($CC$39&lt;&gt;$CC$38,$CC$39&lt;&gt;$CC$40),1,0)</f>
        <v>0</v>
      </c>
      <c r="CT39" s="11" t="n">
        <f aca="false" t="array" ref="CT39:CT39">IF(AND($CC$38:$CC$41=$CC$38,$CD$38:$CD$41&lt;90,$CE$38:$CE$39=$CE$38,$CE$39&lt;&gt;$CE$40),1,0)</f>
        <v>0</v>
      </c>
      <c r="CU39" s="11" t="n">
        <f aca="false" t="array" ref="CU39:CU39">IF(AND($CC$38:$CC$41=$CC$38,$CD$38:$CD$41&lt;90,$CE$38:$CE$41=$CE$38,$CF$38=$CF$39,$CF$39&lt;&gt;$CF$40),1,0)</f>
        <v>0</v>
      </c>
      <c r="CV39" s="11" t="n">
        <f aca="false" t="array" ref="CV39:CV39">IF(AND($CC$38:$CC$40=$CC$39,$CD$38:$CD$39&lt;90,$CD$40&gt;90),1,0)</f>
        <v>0</v>
      </c>
      <c r="CW39" s="11" t="n">
        <f aca="false" t="array" ref="CW39:CW39">IF(AND($CC$39&lt;&gt;$CC$38,$CC$39:$CC$41=$CC$39,$CD$39&gt;90,$CD$40:$CD$41&lt;90),1,0)</f>
        <v>0</v>
      </c>
      <c r="CX39" s="11" t="n">
        <f aca="false" t="array" ref="CX39:CX39">IF(AND($CC$39&lt;&gt;$CC$38,$CC$39:$CC$41=$CC$39,$CD$41&gt;90,$CD$39:$CD$40&lt;90),1,0)</f>
        <v>0</v>
      </c>
      <c r="CY39" s="11" t="n">
        <f aca="false" t="array" ref="CY39:CY39">IF(AND($CC$39&lt;&gt;$CC$41,$CC$38:$CC$40=$CC$39,$CD$38&gt;90,$CD$39:$CD$40&lt;90),1,0)</f>
        <v>0</v>
      </c>
      <c r="CZ39" s="11" t="n">
        <f aca="false" t="array" ref="CZ39:CZ39">IF(AND($CC$38:$CC$41=$CC$39,$CD$39:$CD$41&lt;90,$CD$38&lt;&gt;$CD$39),1,0)</f>
        <v>0</v>
      </c>
      <c r="DA39" s="11" t="n">
        <f aca="false" t="array" ref="DA39:DA39">IF(AND($CC$38:$CC$41=$CC$39,$CD$38:$CD$40&lt;90,$CD$39&lt;&gt;$CD$41),1,0)</f>
        <v>0</v>
      </c>
      <c r="DB39" s="11" t="n">
        <f aca="false" t="array" ref="DB39:DB39">IF(AND($CC$38:$CC$41=$CC$39,$CD$38:$CD$39&gt;90,$CD$40:$CD$41&lt;90,$CE$38:$CE$41=$CE$39,$CF$38&gt;$CF$39,$CF$39&gt;$CF$40,$CF$39&gt;$CF$41),1,0)</f>
        <v>0</v>
      </c>
      <c r="DC39" s="11" t="n">
        <f aca="false" t="array" ref="DC39:DC39">IF(AND($CC$38:$CC$41=$CC$39,$CD$38&gt;90,$CD$39:$CD$40&lt;90,$CD$41&gt;90,$CE$38:$CE$41=$CE$39,$CF$38&gt;$CF$39,$CF$39=$CF$40,$CF$39&gt;$CF$41),1,0)</f>
        <v>0</v>
      </c>
      <c r="DD39" s="11" t="n">
        <f aca="false" t="array" ref="DD39:DD39">IF(AND($CC$38:$CC$41=$CC$39,$CD$38:$CD$39&lt;90,$CD$40:$CD$41&gt;90,$CE$38:$CE$41=$CE$39,$CF$38=$CF$39,$CF$39&gt;$CF$40,$CF$39&gt;$CF$41),1,0)</f>
        <v>0</v>
      </c>
      <c r="DE39" s="11" t="n">
        <f aca="false" t="array" ref="DE39:DE39">IF(AND($CC$38:$CC$41=$CC$39,$CD$38:$CD$39&gt;90,$CD$40:$CD$41&lt;90,$CE$38:$CE$41=$CE$39,$CF$38&gt;$CF$39,$CF$39:$CF$41=$CF$39),1,0)</f>
        <v>0</v>
      </c>
      <c r="DF39" s="11" t="n">
        <f aca="false" t="array" ref="DF39:DF39">IF(AND($CC$38:$CC$41=$CC$39,$CD$38:$CD$39&lt;90,$CD$40:$CD$41&gt;90,$CE$38:$CE$41=$CE$39,$CF$38:$CF$40=$CF$39,$CF$39&gt;$CF$41),1,0)</f>
        <v>0</v>
      </c>
      <c r="DG39" s="11" t="n">
        <f aca="false" t="array" ref="DG39:DG39">IF(AND($CC$38:$CC$41=$CC$39,$CD$38&gt;90,$CD$41&gt;90,$CD$39:$CD$40&lt;90,$CE$38:$CE$41=$CE$39,$CF$38&gt;$CF$39:$CF$41,$CF$39:$CF$41=$CF$39),1,0)</f>
        <v>0</v>
      </c>
      <c r="EC39" s="10" t="n">
        <v>3</v>
      </c>
      <c r="ED39" s="10" t="n">
        <v>3</v>
      </c>
      <c r="EE39" s="10"/>
      <c r="EF39" s="10" t="n">
        <v>4</v>
      </c>
      <c r="EG39" s="10"/>
      <c r="EH39" s="10"/>
      <c r="EI39" s="10"/>
      <c r="EJ39" s="10"/>
      <c r="EK39" s="10"/>
      <c r="EL39" s="10"/>
      <c r="FI39" s="73"/>
      <c r="FK39" s="73"/>
      <c r="FM39" s="73"/>
    </row>
    <row r="40" s="11" customFormat="true" ht="15" hidden="false" customHeight="false" outlineLevel="0" collapsed="false">
      <c r="A40" s="32" t="str">
        <f aca="true" t="array" ref="A40:A40">IF(ROWS(A$37:A40)&lt;=$C$36,INDEX(INDIRECT(A$36),SMALL(IF(Nivell=$B$36,ROW(Nivell)-ROW(Equipos!$C$2)+1),ROWS(B$36:B39))),"")</f>
        <v>Japón</v>
      </c>
      <c r="B40" s="33"/>
      <c r="C40" s="75"/>
      <c r="D40" s="35"/>
      <c r="E40" s="219"/>
      <c r="F40" s="228" t="n">
        <f aca="false">Horarios!C40</f>
        <v>44896.9166666667</v>
      </c>
      <c r="G40" s="229" t="n">
        <f aca="false">Horarios!C40</f>
        <v>44896.9166666667</v>
      </c>
      <c r="H40" s="228" t="s">
        <v>77</v>
      </c>
      <c r="I40" s="230" t="str">
        <f aca="false">A40</f>
        <v>Japón</v>
      </c>
      <c r="J40" s="231" t="str">
        <f aca="false">VLOOKUP(I40,Equipos!$H$2:$I$33,2,0)</f>
        <v>🇯🇵</v>
      </c>
      <c r="K40" s="232" t="n">
        <v>2</v>
      </c>
      <c r="L40" s="232" t="n">
        <v>1</v>
      </c>
      <c r="M40" s="233" t="str">
        <f aca="false">VLOOKUP(N40,Equipos!$H$2:$I$33,2,0)</f>
        <v>🇪🇸</v>
      </c>
      <c r="N40" s="234" t="str">
        <f aca="false">A37</f>
        <v>España</v>
      </c>
      <c r="O40" s="44" t="n">
        <f aca="false">IF(NOT(OR(ISBLANK(K40),ISBLANK(L40))),1,0)</f>
        <v>1</v>
      </c>
      <c r="P40" s="45"/>
      <c r="Q40" s="243" t="n">
        <v>3</v>
      </c>
      <c r="R40" s="77" t="str">
        <f aca="false">VLOOKUP(Q40,$AG$38:$AI$41,3,0)</f>
        <v>Alemania</v>
      </c>
      <c r="S40" s="78" t="n">
        <f aca="false">VLOOKUP(R40,$AI$38:$AR$41,2,0)</f>
        <v>4</v>
      </c>
      <c r="T40" s="78" t="n">
        <f aca="false">VLOOKUP($R40,$AI$38:$AR$41,3,0)</f>
        <v>3</v>
      </c>
      <c r="U40" s="78" t="n">
        <f aca="false">VLOOKUP($R40,$AI$38:$AR$41,4,0)</f>
        <v>1</v>
      </c>
      <c r="V40" s="78" t="n">
        <f aca="false">VLOOKUP($R40,$AI$38:$AR$41,5,0)</f>
        <v>1</v>
      </c>
      <c r="W40" s="78" t="n">
        <f aca="false">VLOOKUP($R40,$AI$38:$AR$41,6,0)</f>
        <v>1</v>
      </c>
      <c r="X40" s="78" t="n">
        <f aca="false">VLOOKUP($R40,$AI$38:$AR$41,7,0)</f>
        <v>6</v>
      </c>
      <c r="Y40" s="78" t="n">
        <f aca="false">VLOOKUP($R40,$AI$38:$AR$41,8,0)</f>
        <v>5</v>
      </c>
      <c r="Z40" s="244" t="n">
        <f aca="false">VLOOKUP($R40,$AI$38:$AR$41,9,0)</f>
        <v>1</v>
      </c>
      <c r="AA40" s="67" t="n">
        <f aca="false">IF(SUM($AK$38:$AK$41)=12,MIN(ABS(BY39-BY40),ABS(BY40-BY41)),100)</f>
        <v>28000000.0199995</v>
      </c>
      <c r="AB40" s="68" t="str">
        <f aca="false">IF(AND(AA40&gt;=0,AA40&lt;90),VLOOKUP(Q40,$BU$38:$BV$41,2,0),"")</f>
        <v/>
      </c>
      <c r="AC40" s="69"/>
      <c r="AD40" s="70"/>
      <c r="AE40" s="71"/>
      <c r="AF40" s="24" t="n">
        <f aca="false">VLOOKUP($R40,$AI$38:$AR$41,10,0)</f>
        <v>4455210499.81</v>
      </c>
      <c r="AG40" s="11" t="n">
        <f aca="false">RANK(AU40,$AU$38:$AU$41)</f>
        <v>3</v>
      </c>
      <c r="AH40" s="11" t="n">
        <f aca="false">RANK(AR40,$AR$38:$AR$41)</f>
        <v>3</v>
      </c>
      <c r="AI40" s="10" t="str">
        <f aca="false">A39</f>
        <v>Alemania</v>
      </c>
      <c r="AJ40" s="11" t="n">
        <f aca="false">AL40*3+AM40*1+AN40*0</f>
        <v>4</v>
      </c>
      <c r="AK40" s="11" t="n">
        <f aca="false">COUNTIFS($I$4:$I$65,AI40,$K$4:$K$65,"&lt;&gt;",$L$4:$L$65,"&lt;&gt;")+COUNTIFS($N$4:$N$65,AI40,$L$4:$L$65,"&lt;&gt;",$K$4:$K$65,"&lt;&gt;")</f>
        <v>3</v>
      </c>
      <c r="AL40" s="11" t="n">
        <f aca="false" t="array" ref="AL40:AL40">SUM(($I$4:$I$65=AI40)*($K$4:$K$65&lt;&gt;"")*($L$4:$L$65&lt;&gt;"")*($K$4:$K$65&gt;$L$4:$L$65),($N$4:$N$65=AI40)*($K$4:$K$65&lt;&gt;"")*($L$4:$L$65&lt;&gt;"")*($K$4:$K$65&lt;$L$4:$L$65))</f>
        <v>1</v>
      </c>
      <c r="AM40" s="11" t="n">
        <f aca="false" t="array" ref="AM40:AM40">SUM(($I$4:$I$65=AI40)*($K$4:$K$65&lt;&gt;"")*($L$4:$L$65&lt;&gt;"")*($K$4:$K$65=$L$4:$L$65),($N$4:$N$65=AI40)*($K$4:$K$65&lt;&gt;"")*($L$4:$L$65&lt;&gt;"")*($K$4:$K$65=$L$4:$L$65))</f>
        <v>1</v>
      </c>
      <c r="AN40" s="11" t="n">
        <f aca="false" t="array" ref="AN40:AN40">SUM(($I$4:$I$65=AI40)*($L$4:$L$65&lt;&gt;"")*($K$4:$K$65&lt;&gt;"")*($K$4:$K$65&lt;$L$4:$L$65),($K$4:$K$65&lt;&gt;"")*($N$4:$N$65=AI40)*($L$4:$L$65&lt;&gt;"")*($K$4:$K$65&gt;$L$4:$L$65))</f>
        <v>1</v>
      </c>
      <c r="AO40" s="11" t="n">
        <f aca="false" t="array" ref="AO40:AO40">SUMIFS($K$4:$K$65,$I$4:$I$65,AI40,$K$4:$K$65,"&lt;&gt;",$L$4:$L$65,"&lt;&gt;")+SUMIFS($L$4:$L$65,$N$4:$N$65,AI40,$K$4:$K$65,"&lt;&gt;",$L$4:$L$65,"&lt;&gt;")</f>
        <v>6</v>
      </c>
      <c r="AP40" s="11" t="n">
        <f aca="false" t="array" ref="AP40:AP40">SUMIFS($K$4:$K$65,$N$4:$N$65,AI40,$K$4:$K$65,"&lt;&gt;",$L$4:$L$65,"&lt;&gt;")+SUMIFS($L$4:$L$65,$I$4:$I$65,AI40,$K$4:$K$65,"&lt;&gt;",$L$4:$L$65,"&lt;&gt;")</f>
        <v>5</v>
      </c>
      <c r="AQ40" s="11" t="n">
        <f aca="false">AO40-AP40</f>
        <v>1</v>
      </c>
      <c r="AR40" s="11" t="n">
        <f aca="false">IF(AK40=0,-($AW$11*VLOOKUP(AI40,Tabla3[[NombreEquipo]:[Rank]],3,0)),AJ40*$AW$4+AQ40*$AW$5+AO40*$AW$6+BA40-($AW$11*VLOOKUP(AI40,Tabla3[[NombreEquipo]:[Rank]],3,0)/100))</f>
        <v>4455210499.81</v>
      </c>
      <c r="AS40" s="11" t="n">
        <f aca="false">AH40</f>
        <v>3</v>
      </c>
      <c r="AU40" s="11" t="n">
        <f aca="false">IFERROR(AR40-VLOOKUP(AI40,$AB$38:$AC$41,2,0),AR40)</f>
        <v>4455210499.81</v>
      </c>
      <c r="AW40" s="31"/>
      <c r="AY40" s="72" t="str">
        <f aca="false">AI40</f>
        <v>Alemania</v>
      </c>
      <c r="AZ40" s="11" t="n">
        <f aca="false">COUNTIF(AJ38:AJ41,AJ40)</f>
        <v>2</v>
      </c>
      <c r="BA40" s="11" t="n">
        <f aca="false">(BB40*$AW$9)+(BH40*$AW$8)+(BN40*$AW$7)</f>
        <v>210500</v>
      </c>
      <c r="BB40" s="73" t="n">
        <f aca="false">RANK(BC40,BC38:BC41,1)</f>
        <v>1</v>
      </c>
      <c r="BC40" s="73" t="n">
        <f aca="false">SUM(IF(AND(AJ40=AJ41,AQ40=AQ41,AO40=AO41),BG40,0),IF(AND(AJ40=AJ38,AQ40=AQ38,AO40=AO38),BD40,0),IF(AND(AJ40=AJ39,AQ40=AQ39,AO40=AO39),BE40,0))</f>
        <v>0</v>
      </c>
      <c r="BD40" s="73" t="n">
        <f aca="false" t="array" ref="BD40:BD40">SUMIFS($K$36:$K$41,$I$36:$I$41,$AY40,$K$36:$K$41,"&lt;&gt;",$L$36:$L$41,"&lt;&gt;",$N$36:$N$41,BD37)+SUMIFS($L$36:$L$41,$I$36:$I$41,BD37,$K$36:$K$41,"&lt;&gt;",$L$36:$L$41,"&lt;&gt;",$N$36:$N$41,$AY40)</f>
        <v>1</v>
      </c>
      <c r="BE40" s="73" t="n">
        <f aca="false" t="array" ref="BE40:BE40">SUMIFS($K$36:$K$41,$I$36:$I$41,$AY40,$K$36:$K$41,"&lt;&gt;",$L$36:$L$41,"&lt;&gt;",$N$36:$N$41,BE37)+SUMIFS($L$36:$L$41,$I$36:$I$41,BE37,$K$36:$K$41,"&lt;&gt;",$L$36:$L$41,"&lt;&gt;",$N$36:$N$41,$AY40)</f>
        <v>4</v>
      </c>
      <c r="BF40" s="73" t="n">
        <v>0</v>
      </c>
      <c r="BG40" s="73" t="n">
        <f aca="false" t="array" ref="BG40:BG40">SUMIFS($K$36:$K$41,$I$36:$I$41,$AY40,$K$36:$K$41,"&lt;&gt;",$L$36:$L$41,"&lt;&gt;",$N$36:$N$41,BG37)+SUMIFS($L$36:$L$41,$I$36:$I$41,BG37,$K$36:$K$41,"&lt;&gt;",$L$36:$L$41,"&lt;&gt;",$N$36:$N$41,$AY40)</f>
        <v>1</v>
      </c>
      <c r="BH40" s="73" t="n">
        <f aca="false">RANK(BI40,BI38:BI41,1)</f>
        <v>1</v>
      </c>
      <c r="BI40" s="73" t="n">
        <f aca="false">SUM(IF(AND(AJ40=AJ41,AQ40=AQ41,AO40=AO41),BM40,0),IF(AND(AJ40=AJ38,AQ40=AQ38,AO40=AO38),BJ40,0),IF(AND(AJ40=AJ39,AQ40=AQ39,AO40=AO39),BK40,0))</f>
        <v>0</v>
      </c>
      <c r="BJ40" s="73" t="n">
        <f aca="false">BD40-BF38</f>
        <v>0</v>
      </c>
      <c r="BK40" s="73" t="n">
        <f aca="false">BE40-BF39</f>
        <v>2</v>
      </c>
      <c r="BL40" s="73" t="n">
        <v>0</v>
      </c>
      <c r="BM40" s="73" t="n">
        <f aca="false">BG40-BF41</f>
        <v>-1</v>
      </c>
      <c r="BN40" s="73" t="n">
        <f aca="false">RANK(BO40,BO38:BO41,1)</f>
        <v>1</v>
      </c>
      <c r="BO40" s="73" t="n">
        <f aca="false">SUM(IF(AND(AJ40=AJ41,AQ40=AQ41,AO40=AO41),BS40,0),IF(AND(AJ40=AJ38,AQ40=AQ38,AO40=AO38),BP40,0),IF(AND(AJ40=AJ39,AQ40=AQ39,AO40=AO39),BQ40,0))</f>
        <v>0</v>
      </c>
      <c r="BP40" s="73" t="n">
        <f aca="false" t="array" ref="BP40:BP40">SUM((I$4:I$49=AY40)*(N$4:N$49=BP37)*(K$4:K$49&lt;&gt;"")*(L$4:L$49&lt;&gt;"")*(K$4:K$49&gt;L$4:L$49)*3,(N$4:N$49=AY40)*(I$4:I$49=BP37)*(K$4:K$49&lt;&gt;"")*(L$4:L$49&lt;&gt;"")*(K$4:K$49=L$4:L$49)*1,(N$4:N$49=AY40)*(I$4:I$49=BP37)*(K$4:K$49&lt;&gt;"")*(L$4:L$49&lt;&gt;"")*(K$4:K$49&lt;L$4:L$49)*3,(I$4:I$49=AY40)*(N$4:N$49=BP37)*(K$4:K$49&lt;&gt;"")*(L$4:L$49&lt;&gt;"")*(K$4:K$49=L$4:L$49)*1)</f>
        <v>1</v>
      </c>
      <c r="BQ40" s="73" t="n">
        <f aca="false" t="array" ref="BQ40:BQ40">SUM((I$4:I$49=AY40)*(N$4:N$49=BQ37)*(K$4:K$49&lt;&gt;"")*(L$4:L$49&lt;&gt;"")*(K$4:K$49&gt;L$4:L$49)*3,(N$4:N$49=AY40)*(I$4:I$49=BQ37)*(K$4:K$49&lt;&gt;"")*(L$4:L$49&lt;&gt;"")*(K$4:K$49=L$4:L$49)*1,(N$4:N$49=AY40)*(I$4:I$49=BQ37)*(K$4:K$49&lt;&gt;"")*(L$4:L$49&lt;&gt;"")*(K$4:K$49&lt;L$4:L$49)*3,(I$4:I$49=AY40)*(N$4:N$49=BQ37)*(K$4:K$49&lt;&gt;"")*(L$4:L$49&lt;&gt;"")*(K$4:K$49=L$4:L$49)*1)</f>
        <v>3</v>
      </c>
      <c r="BR40" s="73" t="n">
        <v>0</v>
      </c>
      <c r="BS40" s="73" t="n">
        <f aca="false" t="array" ref="BS40:BS40">SUM((I$4:I$49=AY40)*(N$4:N$49=BS37)*(K$4:K$49&lt;&gt;"")*(L$4:L$49&lt;&gt;"")*(K$4:K$49&gt;L$4:L$49)*3,(N$4:N$49=AY40)*(I$4:I$49=BS37)*(K$4:K$49&lt;&gt;"")*(L$4:L$49&lt;&gt;"")*(K$4:K$49=L$4:L$49)*1,(N$4:N$49=AY40)*(I$4:I$49=BS37)*(K$4:K$49&lt;&gt;"")*(L$4:L$49&lt;&gt;"")*(K$4:K$49&lt;L$4:L$49)*3,(I$4:I$49=AY40)*(N$4:N$49=BS37)*(K$4:K$49&lt;&gt;"")*(L$4:L$49&lt;&gt;"")*(K$4:K$49=L$4:L$49)*1)</f>
        <v>0</v>
      </c>
      <c r="BT40" s="10" t="n">
        <v>3</v>
      </c>
      <c r="BU40" s="10" t="n">
        <f aca="false">RANK(BW40,$BW$38:$BW$41)</f>
        <v>3</v>
      </c>
      <c r="BV40" s="10" t="str">
        <f aca="false">A39</f>
        <v>Alemania</v>
      </c>
      <c r="BW40" s="10" t="n">
        <f aca="false">IF(AK40=0,-($AW$11*VLOOKUP(AI40,Tabla3[[NombreEquipo]:[Rank]],3,0)),AJ40*$AW$4+BA40+AQ40*$AW$8+AO40*$AW$9+AL40*$AW$10-($AW$11*VLOOKUP(AI40,Tabla3[[NombreEquipo]:[Rank]],3,0)/100))</f>
        <v>4444223599.81</v>
      </c>
      <c r="BX40" s="10" t="str">
        <f aca="false">VLOOKUP(Q40,$AH$38:$AI$41,2,0)</f>
        <v>Alemania</v>
      </c>
      <c r="BY40" s="10" t="n">
        <f aca="false">VLOOKUP($BX40,$AI$38:$AR$41,10,0)</f>
        <v>4455210499.81</v>
      </c>
      <c r="BZ40" s="10"/>
      <c r="CA40" s="10" t="n">
        <v>3</v>
      </c>
      <c r="CB40" s="10" t="str">
        <f aca="false">VLOOKUP(CA40,$AH$38:$AI$41,2,0)</f>
        <v>Alemania</v>
      </c>
      <c r="CC40" s="10" t="n">
        <f aca="false">VLOOKUP(CB40,$AI$38:$AR$41,2,0)</f>
        <v>4</v>
      </c>
      <c r="CD40" s="74" t="n">
        <f aca="false">IF(SUM($AK$38:$AK$41)=12,MIN(ABS(BY39-BY40),ABS(BY40-BY41)),100)</f>
        <v>28000000.0199995</v>
      </c>
      <c r="CE40" s="10" t="n">
        <f aca="false">VLOOKUP($CB40,$AI$38:$AR$41,9,0)</f>
        <v>1</v>
      </c>
      <c r="CF40" s="10" t="n">
        <f aca="false">VLOOKUP($CB40,$AI$38:$AR$41,7,0)</f>
        <v>6</v>
      </c>
      <c r="CG40" s="10"/>
      <c r="CH40" s="10" t="n">
        <f aca="false" t="array" ref="CH40:CH40">IF($CI$38=$CL$37,$EC$37:$EC$40,IF($CI$38=$CM$37,$ED$37:$ED$39,IF(OR($CI$38=$CN$37,$CI$38=$CR$37),$EG$37:$EG$38,IF($CI$38=$CP$37,$EF$37:$EF$39,(IF($CI$38=$CQ$37,$EH$37:$EH$38,$EK$37))))))</f>
        <v>3</v>
      </c>
      <c r="CK40" s="11" t="n">
        <v>3</v>
      </c>
      <c r="CL40" s="11" t="n">
        <f aca="false" t="array" ref="CL40:CL40">IF(AND($CC$38:$CC$41=$CC$40,$CD$38:$CD$41&lt;90,$AQ$38:$AQ$41=$AQ$40,$CF$38:$CF$41=$CF$40),1,0)</f>
        <v>0</v>
      </c>
      <c r="CM40" s="11" t="n">
        <f aca="false" t="array" ref="CM40:CM40">IF(AND($CC$38:$CC$40=$CC$40,$CD$38:$CD$40&lt;90,$CC$40&lt;&gt;$CC$41),1,0)</f>
        <v>0</v>
      </c>
      <c r="CN40" s="11" t="n">
        <f aca="false" t="array" ref="CN40:CN40">IF(AND($CC$40:$CC$41=$CC$40,$CD$40:$CD$41&lt;90,$CC$40&lt;&gt;$CC$39),1,0)</f>
        <v>0</v>
      </c>
      <c r="CO40" s="11" t="n">
        <f aca="false" t="array" ref="CO40:CO40">IF(OR(AND($CC$40&lt;&gt;$CC$39,$CC$40&lt;&gt;$CC$41),AND($CC$40&lt;&gt;$CC$39,$CC$40=$CC$41,$CD$40&gt;90,$CD$41&gt;90)),1,0)</f>
        <v>0</v>
      </c>
      <c r="CP40" s="11" t="n">
        <f aca="false" t="array" ref="CP40:CP40">IF(AND($CC$39:$CC$41=$CC$39,$CD$39:$CD$41&lt;90,$CC$38&lt;&gt;$CC$40),1,0)</f>
        <v>0</v>
      </c>
      <c r="CQ40" s="11" t="n">
        <f aca="false" t="array" ref="CQ40:CQ40">IF(AND($CC$39:$CC$40=$CC$40,$CD$39:$CD$40&lt;90,$CC$40&lt;&gt;$CC$38,$CC$40&lt;&gt;$CC$41),1,0)</f>
        <v>0</v>
      </c>
      <c r="CR40" s="11" t="n">
        <f aca="false" t="array" ref="CR40:CR40">IF(AND($CC$40:$CC$41=$CC$40,$CD$40:$CD$41&lt;90,$CC$40&lt;&gt;$CC$39),1,0)</f>
        <v>0</v>
      </c>
      <c r="CS40" s="11" t="n">
        <f aca="false" t="array" ref="CS40:CS40">IF(AND($CC$40&lt;&gt;$CC$39,$CC$40&lt;&gt;$CC$41),1,0)</f>
        <v>0</v>
      </c>
      <c r="CT40" s="11" t="n">
        <f aca="false" t="array" ref="CT40:CT40">IF(AND($CC$38:$CC$41=$CC$38,$CD$38:$CD$41&lt;90,$CE$40:$CE$41=$CE$40,$CE$39&lt;&gt;$CE$40),1,0)</f>
        <v>0</v>
      </c>
      <c r="CU40" s="11" t="n">
        <f aca="false" t="array" ref="CU40:CU40">IF(AND($CC$38:$CC$41=$CC$38,$CD$38:$CD$41&lt;90,$CE$38:$CE$41=$CE$38,$CF$40=$CF$41,$CF$39&lt;&gt;$CF$40),1,0)</f>
        <v>0</v>
      </c>
      <c r="CV40" s="11" t="n">
        <f aca="false" t="array" ref="CV40:CV40">IF(AND($CC$38:$CC$40=$CC$40,$CD$38:$CD$39&lt;90,$CD$40&gt;90),1,0)</f>
        <v>0</v>
      </c>
      <c r="CW40" s="11" t="n">
        <f aca="false" t="array" ref="CW40:CW40">IF(AND($CC$39&lt;&gt;$CC$38,$CC$39:$CC$41=$CC$40,$CD$39&gt;90,$CD$40:$CD$41&lt;90),1,0)</f>
        <v>0</v>
      </c>
      <c r="CX40" s="11" t="n">
        <f aca="false" t="array" ref="CX40:CX40">IF(AND($CC$39&lt;&gt;$CC$38,$CC$39:$CC$41=$CC$39,$CD$41&gt;90,$CD$39:$CD$40&lt;90),1,0)</f>
        <v>0</v>
      </c>
      <c r="CY40" s="11" t="n">
        <f aca="false" t="array" ref="CY40:CY40">IF(AND($CC$40&lt;&gt;$CC$41,$CC$38:$CC$40=$CC$40,$CD$38&gt;90,$CD$39:$CD$40&lt;90),1,0)</f>
        <v>0</v>
      </c>
      <c r="CZ40" s="11" t="n">
        <f aca="false" t="array" ref="CZ40:CZ40">IF(AND($CC$38:$CC$41=$CC$39,$CD$39:$CD$41&lt;90,$CD$38&lt;&gt;$CD$40),1,0)</f>
        <v>0</v>
      </c>
      <c r="DA40" s="11" t="n">
        <f aca="false" t="array" ref="DA40:DA40">IF(AND($CC$38:$CC$41=$CC$40,$CD$38:$CD$40&lt;90,$CD$40&lt;&gt;$CD$41),1,0)</f>
        <v>0</v>
      </c>
      <c r="DB40" s="11" t="n">
        <f aca="false" t="array" ref="DB40:DB40">IF(AND($CC$38:$CC$41=$CC$40,$CD$38:$CD$39&gt;90,$CD$40:$CD$41&lt;90,$CE$38:$CE$41=$CE$40,$CF$38&gt;$CF$39,$CF$39&gt;$CF$40,$CF$40=$CF$41),1,0)</f>
        <v>0</v>
      </c>
      <c r="DC40" s="11" t="n">
        <f aca="false" t="array" ref="DC40:DC40">IF(AND($CC$38:$CC$41=$CC$40,$CD$38&gt;90,$CD$39:$CD$40&lt;90,$CD$41&gt;90,$CE$38:$CE$41=$CE$40,$CF$38&gt;$CF$39,$CF$39=$CF$40,$CF$40&gt;$CF$41),1,0)</f>
        <v>0</v>
      </c>
      <c r="DD40" s="11" t="n">
        <f aca="false" t="array" ref="DD40:DD40">IF(AND($CC$38:$CC$41=$CC$40,$CD$38:$CD$39&lt;90,$CD$40:$CD$41&gt;90,$CE$38:$CE$41=$CE$40,$CF$38=$CF$39,$CF$39&gt;$CF$40,$CF$40&gt;$CF$41),1,0)</f>
        <v>0</v>
      </c>
      <c r="DE40" s="11" t="n">
        <f aca="false" t="array" ref="DE40:DE40">IF(AND($CC$38:$CC$41=$CC$40,$CD$38:$CD$39&gt;90,$CD$40:$CD$41&lt;90,$CE$38:$CE$41=$CE$39,$CF$38&gt;$CF$40,$CF$39:$CF$41=$CF$40),1,0)</f>
        <v>0</v>
      </c>
      <c r="DF40" s="11" t="n">
        <f aca="false" t="array" ref="DF40:DF40">IF(AND($CC$38:$CC$41=$CC$40,$CD$38:$CD$39&lt;90,$CD$40:$CD$41&gt;90,$CE$38:$CE$41=$CE$40,$CF$38:$CF$40=$CF$40,$CF$40&gt;$CF$41),1,0)</f>
        <v>0</v>
      </c>
      <c r="DG40" s="11" t="n">
        <f aca="false" t="array" ref="DG40:DG40">IF(AND($CC$38:$CC$41=$CC$40,$CD$38&gt;90,$CD$41&gt;90,$CD$39:$CD$40&lt;90,$CE$38:$CE$41=$CE$40,$CF$38&gt;$CF$39:$CF$41,$CF$39:$CF$41=$CF$40),1,0)</f>
        <v>0</v>
      </c>
      <c r="EC40" s="10" t="n">
        <v>4</v>
      </c>
      <c r="ED40" s="10"/>
      <c r="EE40" s="10"/>
      <c r="EF40" s="10"/>
      <c r="EG40" s="10"/>
      <c r="EH40" s="10"/>
      <c r="EI40" s="10"/>
      <c r="EJ40" s="10"/>
      <c r="EK40" s="10"/>
      <c r="EL40" s="10"/>
      <c r="FI40" s="73"/>
      <c r="FK40" s="73"/>
      <c r="FM40" s="73"/>
    </row>
    <row r="41" s="11" customFormat="true" ht="15.75" hidden="false" customHeight="false" outlineLevel="0" collapsed="false">
      <c r="A41" s="12"/>
      <c r="B41" s="12"/>
      <c r="C41" s="12"/>
      <c r="D41" s="35"/>
      <c r="E41" s="219"/>
      <c r="F41" s="245" t="n">
        <f aca="false">Horarios!C41</f>
        <v>44896.9166666667</v>
      </c>
      <c r="G41" s="246" t="n">
        <f aca="false">Horarios!C41</f>
        <v>44896.9166666667</v>
      </c>
      <c r="H41" s="245" t="s">
        <v>77</v>
      </c>
      <c r="I41" s="247" t="str">
        <f aca="false">A38</f>
        <v>Costa Rica</v>
      </c>
      <c r="J41" s="248" t="str">
        <f aca="false">VLOOKUP(I41,Equipos!$H$2:$I$33,2,0)</f>
        <v>🇨🇷</v>
      </c>
      <c r="K41" s="249" t="n">
        <v>2</v>
      </c>
      <c r="L41" s="249" t="n">
        <v>4</v>
      </c>
      <c r="M41" s="250" t="str">
        <f aca="false">VLOOKUP(N41,Equipos!$H$2:$I$33,2,0)</f>
        <v>🇩🇪</v>
      </c>
      <c r="N41" s="251" t="str">
        <f aca="false">A39</f>
        <v>Alemania</v>
      </c>
      <c r="O41" s="44" t="n">
        <f aca="false">IF(NOT(OR(ISBLANK(K41),ISBLANK(L41))),1,0)</f>
        <v>1</v>
      </c>
      <c r="P41" s="45"/>
      <c r="Q41" s="252" t="n">
        <v>4</v>
      </c>
      <c r="R41" s="253" t="str">
        <f aca="false">VLOOKUP(Q41,$AG$38:$AI$41,3,0)</f>
        <v>Costa Rica</v>
      </c>
      <c r="S41" s="254" t="n">
        <f aca="false">VLOOKUP(R41,$AI$38:$AR$41,2,0)</f>
        <v>3</v>
      </c>
      <c r="T41" s="254" t="n">
        <f aca="false">VLOOKUP($R41,$AI$38:$AR$41,3,0)</f>
        <v>3</v>
      </c>
      <c r="U41" s="254" t="n">
        <f aca="false">VLOOKUP($R41,$AI$38:$AR$41,4,0)</f>
        <v>1</v>
      </c>
      <c r="V41" s="254" t="n">
        <f aca="false">VLOOKUP($R41,$AI$38:$AR$41,5,0)</f>
        <v>0</v>
      </c>
      <c r="W41" s="254" t="n">
        <f aca="false">VLOOKUP($R41,$AI$38:$AR$41,6,0)</f>
        <v>2</v>
      </c>
      <c r="X41" s="254" t="n">
        <f aca="false">VLOOKUP($R41,$AI$38:$AR$41,7,0)</f>
        <v>3</v>
      </c>
      <c r="Y41" s="254" t="n">
        <f aca="false">VLOOKUP($R41,$AI$38:$AR$41,8,0)</f>
        <v>11</v>
      </c>
      <c r="Z41" s="255" t="n">
        <f aca="false">VLOOKUP($R41,$AI$38:$AR$41,9,0)</f>
        <v>-8</v>
      </c>
      <c r="AA41" s="67" t="n">
        <f aca="false">IF(SUM($AK$38:$AK$41)=12,MIN(ABS(BY40-BY41),ABS(BY41-BY42)),100)</f>
        <v>1158999999.99</v>
      </c>
      <c r="AB41" s="68" t="str">
        <f aca="false">IF(AND(AA41&gt;=0,AA41&lt;90),VLOOKUP(Q41,$BU$38:$BV$41,2,0),"")</f>
        <v/>
      </c>
      <c r="AC41" s="69"/>
      <c r="AD41" s="70"/>
      <c r="AE41" s="71"/>
      <c r="AF41" s="24" t="n">
        <f aca="false">VLOOKUP($R41,$AI$38:$AR$41,10,0)</f>
        <v>3296210499.82</v>
      </c>
      <c r="AG41" s="11" t="n">
        <f aca="false">RANK(AU41,$AU$38:$AU$41)</f>
        <v>1</v>
      </c>
      <c r="AH41" s="11" t="n">
        <f aca="false">RANK(AR41,$AR$38:$AR$41)</f>
        <v>1</v>
      </c>
      <c r="AI41" s="10" t="str">
        <f aca="false">A40</f>
        <v>Japón</v>
      </c>
      <c r="AJ41" s="11" t="n">
        <f aca="false">AL41*3+AM41*1+AN41*0</f>
        <v>6</v>
      </c>
      <c r="AK41" s="11" t="n">
        <f aca="false">COUNTIFS($I$4:$I$65,AI41,$K$4:$K$65,"&lt;&gt;",$L$4:$L$65,"&lt;&gt;")+COUNTIFS($N$4:$N$65,AI41,$L$4:$L$65,"&lt;&gt;",$K$4:$K$65,"&lt;&gt;")</f>
        <v>3</v>
      </c>
      <c r="AL41" s="11" t="n">
        <f aca="false" t="array" ref="AL41:AL41">SUM(($I$4:$I$65=AI41)*($K$4:$K$65&lt;&gt;"")*($L$4:$L$65&lt;&gt;"")*($K$4:$K$65&gt;$L$4:$L$65),($N$4:$N$65=AI41)*($K$4:$K$65&lt;&gt;"")*($L$4:$L$65&lt;&gt;"")*($K$4:$K$65&lt;$L$4:$L$65))</f>
        <v>2</v>
      </c>
      <c r="AM41" s="11" t="n">
        <f aca="false" t="array" ref="AM41:AM41">SUM(($I$4:$I$65=AI41)*($K$4:$K$65&lt;&gt;"")*($L$4:$L$65&lt;&gt;"")*($K$4:$K$65=$L$4:$L$65),($N$4:$N$65=AI41)*($K$4:$K$65&lt;&gt;"")*($L$4:$L$65&lt;&gt;"")*($K$4:$K$65=$L$4:$L$65))</f>
        <v>0</v>
      </c>
      <c r="AN41" s="11" t="n">
        <f aca="false" t="array" ref="AN41:AN41">SUM(($I$4:$I$65=AI41)*($L$4:$L$65&lt;&gt;"")*($K$4:$K$65&lt;&gt;"")*($K$4:$K$65&lt;$L$4:$L$65),($K$4:$K$65&lt;&gt;"")*($N$4:$N$65=AI41)*($L$4:$L$65&lt;&gt;"")*($K$4:$K$65&gt;$L$4:$L$65))</f>
        <v>1</v>
      </c>
      <c r="AO41" s="11" t="n">
        <f aca="false" t="array" ref="AO41:AO41">SUMIFS($K$4:$K$65,$I$4:$I$65,AI41,$K$4:$K$65,"&lt;&gt;",$L$4:$L$65,"&lt;&gt;")+SUMIFS($L$4:$L$65,$N$4:$N$65,AI41,$K$4:$K$65,"&lt;&gt;",$L$4:$L$65,"&lt;&gt;")</f>
        <v>4</v>
      </c>
      <c r="AP41" s="11" t="n">
        <f aca="false" t="array" ref="AP41:AP41">SUMIFS($K$4:$K$65,$N$4:$N$65,AI41,$K$4:$K$65,"&lt;&gt;",$L$4:$L$65,"&lt;&gt;")+SUMIFS($L$4:$L$65,$I$4:$I$65,AI41,$K$4:$K$65,"&lt;&gt;",$L$4:$L$65,"&lt;&gt;")</f>
        <v>3</v>
      </c>
      <c r="AQ41" s="11" t="n">
        <f aca="false">AO41-AP41</f>
        <v>1</v>
      </c>
      <c r="AR41" s="11" t="n">
        <f aca="false">IF(AK41=0,-($AW$11*VLOOKUP(AI41,Tabla3[[NombreEquipo]:[Rank]],3,0)),AJ41*$AW$4+AQ41*$AW$5+AO41*$AW$6+BA41-($AW$11*VLOOKUP(AI41,Tabla3[[NombreEquipo]:[Rank]],3,0)/100))</f>
        <v>6675210499.8</v>
      </c>
      <c r="AS41" s="11" t="n">
        <f aca="false">AH41</f>
        <v>1</v>
      </c>
      <c r="AU41" s="11" t="n">
        <f aca="false">IFERROR(AR41-VLOOKUP(AI41,$AB$38:$AC$41,2,0),AR41)</f>
        <v>6675210499.8</v>
      </c>
      <c r="AW41" s="31"/>
      <c r="AY41" s="72" t="str">
        <f aca="false">AI41</f>
        <v>Japón</v>
      </c>
      <c r="AZ41" s="11" t="n">
        <f aca="false">COUNTIF(AJ38:AJ41,AJ41)</f>
        <v>1</v>
      </c>
      <c r="BA41" s="11" t="n">
        <f aca="false">(BB41*$AW$9)+(BH41*$AW$8)+(BN41*$AW$7)</f>
        <v>210500</v>
      </c>
      <c r="BB41" s="73" t="n">
        <f aca="false">RANK(BC41,BC38:BC41,1)</f>
        <v>1</v>
      </c>
      <c r="BC41" s="73" t="n">
        <f aca="false">SUM(IF(AND(AJ41=AJ38,AQ41=AQ38,AO41=AO38),BD41,0),IF(AND(AJ41=AJ39,AQ41=AQ39,AO41=AO39),BE41,0),IF(AND(AJ41=AJ40,AQ41=AQ40,AO41=AO40),BF41,0))</f>
        <v>0</v>
      </c>
      <c r="BD41" s="73" t="n">
        <f aca="false" t="array" ref="BD41:BD41">SUMIFS($K$36:$K$41,$I$36:$I$41,$AY41,$K$36:$K$41,"&lt;&gt;",$L$36:$L$41,"&lt;&gt;",$N$36:$N$41,BD37)+SUMIFS($L$36:$L$41,$I$36:$I$41,BD37,$K$36:$K$41,"&lt;&gt;",$L$36:$L$41,"&lt;&gt;",$N$36:$N$41,$AY41)</f>
        <v>2</v>
      </c>
      <c r="BE41" s="73" t="n">
        <f aca="false" t="array" ref="BE41:BE41">SUMIFS($K$36:$K$41,$I$36:$I$41,$AY41,$K$36:$K$41,"&lt;&gt;",$L$36:$L$41,"&lt;&gt;",$N$36:$N$41,BE37)+SUMIFS($L$36:$L$41,$I$36:$I$41,BE37,$K$36:$K$41,"&lt;&gt;",$L$36:$L$41,"&lt;&gt;",$N$36:$N$41,$AY41)</f>
        <v>0</v>
      </c>
      <c r="BF41" s="73" t="n">
        <f aca="false" t="array" ref="BF41:BF41">SUMIFS($K$36:$K$41,$I$36:$I$41,$AY41,$K$36:$K$41,"&lt;&gt;",$L$36:$L$41,"&lt;&gt;",$N$36:$N$41,BF37)+SUMIFS($L$36:$L$41,$I$36:$I$41,BF37,$K$36:$K$41,"&lt;&gt;",$L$36:$L$41,"&lt;&gt;",$N$36:$N$41,$AY41)</f>
        <v>2</v>
      </c>
      <c r="BG41" s="73" t="n">
        <v>0</v>
      </c>
      <c r="BH41" s="73" t="n">
        <f aca="false">RANK(BI41,BI38:BI41,1)</f>
        <v>1</v>
      </c>
      <c r="BI41" s="73" t="n">
        <f aca="false">SUM(IF(AND(AJ41=AJ38,AQ41=AQ38,AO41=AO38),BJ41,0),IF(AND(AJ41=AJ39,AQ41=AQ39,AO41=AO39),BK41,0),IF(AND(AJ41=AJ40,AQ41=AQ40,AO41=AO40),BL41,0))</f>
        <v>0</v>
      </c>
      <c r="BJ41" s="73" t="n">
        <f aca="false">BD41-BG38</f>
        <v>1</v>
      </c>
      <c r="BK41" s="73" t="n">
        <f aca="false">BE41-BG39</f>
        <v>-1</v>
      </c>
      <c r="BL41" s="73" t="n">
        <f aca="false">BF41-BG40</f>
        <v>1</v>
      </c>
      <c r="BM41" s="73" t="n">
        <v>0</v>
      </c>
      <c r="BN41" s="73" t="n">
        <f aca="false">RANK(BO41,BO38:BO41,1)</f>
        <v>1</v>
      </c>
      <c r="BO41" s="73" t="n">
        <f aca="false">SUM(IF(AND(AJ41=AJ38,AQ41=AQ38,AO41=AO38),BP41,0),IF(AND(AJ41=AJ39,AQ41=AQ39,AO41=AO39),BQ41,0),IF(AND(AJ41=AJ40,AQ41=AQ40,AO41=AO40),BR41,0))</f>
        <v>0</v>
      </c>
      <c r="BP41" s="73" t="n">
        <f aca="false" t="array" ref="BP41:BP41">SUM((I$4:I$49=AY41)*(N$4:N$49=BP37)*(K$4:K$49&lt;&gt;"")*(L$4:L$49&lt;&gt;"")*(K$4:K$49&gt;L$4:L$49)*3,(N$4:N$49=AY41)*(I$4:I$49=BP37)*(K$4:K$49&lt;&gt;"")*(L$4:L$49&lt;&gt;"")*(K$4:K$49=L$4:L$49)*1,(N$4:N$49=AY41)*(I$4:I$49=BP37)*(K$4:K$49&lt;&gt;"")*(L$4:L$49&lt;&gt;"")*(K$4:K$49&lt;L$4:L$49)*3,(I$4:I$49=AY41)*(N$4:N$49=BP37)*(K$4:K$49&lt;&gt;"")*(L$4:L$49&lt;&gt;"")*(K$4:K$49=L$4:L$49)*1)</f>
        <v>3</v>
      </c>
      <c r="BQ41" s="73" t="n">
        <f aca="false" t="array" ref="BQ41:BQ41">SUM((I$4:I$49=AY41)*(N$4:N$49=BQ37)*(K$4:K$49&lt;&gt;"")*(L$4:L$49&lt;&gt;"")*(K$4:K$49&gt;L$4:L$49)*3,(N$4:N$49=AY41)*(I$4:I$49=BQ37)*(K$4:K$49&lt;&gt;"")*(L$4:L$49&lt;&gt;"")*(K$4:K$49=L$4:L$49)*1,(N$4:N$49=AY41)*(I$4:I$49=BQ37)*(K$4:K$49&lt;&gt;"")*(L$4:L$49&lt;&gt;"")*(K$4:K$49&lt;L$4:L$49)*3,(I$4:I$49=AY41)*(N$4:N$49=BQ37)*(K$4:K$49&lt;&gt;"")*(L$4:L$49&lt;&gt;"")*(K$4:K$49=L$4:L$49)*1)</f>
        <v>0</v>
      </c>
      <c r="BR41" s="73" t="n">
        <f aca="false" t="array" ref="BR41:BR41">SUM((I$4:I$49=AY41)*(N$4:N$49=BR37)*(K$4:K$49&lt;&gt;"")*(L$4:L$49&lt;&gt;"")*(K$4:K$49&gt;L$4:L$49)*3,(N$4:N$49=AY41)*(I$4:I$49=BR37)*(K$4:K$49&lt;&gt;"")*(L$4:L$49&lt;&gt;"")*(K$4:K$49=L$4:L$49)*1,(N$4:N$49=AY41)*(I$4:I$49=BR37)*(K$4:K$49&lt;&gt;"")*(L$4:L$49&lt;&gt;"")*(K$4:K$49&lt;L$4:L$49)*3,(I$4:I$49=AY41)*(N$4:N$49=BR37)*(K$4:K$49&lt;&gt;"")*(L$4:L$49&lt;&gt;"")*(K$4:K$49=L$4:L$49)*1)</f>
        <v>3</v>
      </c>
      <c r="BS41" s="73" t="n">
        <v>0</v>
      </c>
      <c r="BT41" s="10" t="n">
        <v>4</v>
      </c>
      <c r="BU41" s="10" t="n">
        <f aca="false">RANK(BW41,$BW$38:$BW$41)</f>
        <v>1</v>
      </c>
      <c r="BV41" s="10" t="str">
        <f aca="false">A40</f>
        <v>Japón</v>
      </c>
      <c r="BW41" s="10" t="n">
        <f aca="false">IF(AK41=0,-($AW$11*VLOOKUP(AI41,Tabla3[[NombreEquipo]:[Rank]],3,0)),AJ41*$AW$4+BA41+AQ41*$AW$8+AO41*$AW$9+AL41*$AW$10-($AW$11*VLOOKUP(AI41,Tabla3[[NombreEquipo]:[Rank]],3,0)/100))</f>
        <v>6666222699.8</v>
      </c>
      <c r="BX41" s="10" t="str">
        <f aca="false">VLOOKUP(Q41,$AH$38:$AI$41,2,0)</f>
        <v>Costa Rica</v>
      </c>
      <c r="BY41" s="10" t="n">
        <f aca="false">VLOOKUP($BX41,$AI$38:$AR$41,10,0)</f>
        <v>3296210499.82</v>
      </c>
      <c r="BZ41" s="10"/>
      <c r="CA41" s="10" t="n">
        <v>4</v>
      </c>
      <c r="CB41" s="10" t="str">
        <f aca="false">VLOOKUP(CA41,$AH$38:$AI$41,2,0)</f>
        <v>Costa Rica</v>
      </c>
      <c r="CC41" s="10" t="n">
        <f aca="false">VLOOKUP(CB41,$AI$38:$AR$41,2,0)</f>
        <v>3</v>
      </c>
      <c r="CD41" s="74" t="n">
        <f aca="false">IF(SUM($AK$38:$AK$41)=12,MIN(ABS(BY40-BY41),ABS(BY41-BY42)),100)</f>
        <v>1158999999.99</v>
      </c>
      <c r="CE41" s="10" t="n">
        <f aca="false">VLOOKUP($CB41,$AI$38:$AR$41,9,0)</f>
        <v>-8</v>
      </c>
      <c r="CF41" s="10" t="n">
        <f aca="false">VLOOKUP($CB41,$AI$38:$AR$41,7,0)</f>
        <v>3</v>
      </c>
      <c r="CG41" s="10"/>
      <c r="CH41" s="10" t="n">
        <f aca="false" t="array" ref="CH41:CH41">IF($CI$38=$CL$37,$EC$37:$EC$40,IF(OR($CI$38=$CN$37,$CI$38=$CR$37),$EG$37:$EG$38,IF($CI$38=$CP$37,$EF$37:$EF$39,$EL$37)))</f>
        <v>4</v>
      </c>
      <c r="CK41" s="11" t="n">
        <v>4</v>
      </c>
      <c r="CL41" s="11" t="n">
        <f aca="false" t="array" ref="CL41:CL41">IF(AND($CC$38:$CC$41=$CC$41,$CD$38:$CD$41&lt;90,$AQ$38:$AQ$41=$AQ$41,$CF$38:$CF$41=$CF$41),1,0)</f>
        <v>0</v>
      </c>
      <c r="CM41" s="11" t="n">
        <f aca="false" t="array" ref="CM41:CM41">IF(AND($CC$38:$CC$40=$CC$38,$CD$38:$CD$40&lt;90,$CD$41&gt;90,$CC$38&lt;&gt;$CC$41),1,0)</f>
        <v>0</v>
      </c>
      <c r="CN41" s="11" t="n">
        <f aca="false" t="array" ref="CN41:CN41">IF(AND($CC$40:$CC$41=$CC$40,$CD$40:$CD$41&lt;90,$CC$40&lt;&gt;$CC$39),1,0)</f>
        <v>0</v>
      </c>
      <c r="CO41" s="11" t="n">
        <f aca="false" t="array" ref="CO41:CO41">IF(AND($CC$41&lt;&gt;$CC$39,$CC$41&lt;&gt;$CC$38),1,0)</f>
        <v>1</v>
      </c>
      <c r="CP41" s="11" t="n">
        <f aca="false" t="array" ref="CP41:CP41">IF(AND($CC$39:$CC$41=$CC$39,$CD$39:$CD$41&lt;90,$CC$38&lt;&gt;$CC$41),1,0)</f>
        <v>0</v>
      </c>
      <c r="CQ41" s="11" t="n">
        <f aca="false" t="array" ref="CQ41:CQ41">IF(AND($CC$41&lt;&gt;$CC$39,$CC$41&lt;&gt;$CC$38),1,0)</f>
        <v>1</v>
      </c>
      <c r="CR41" s="11" t="n">
        <f aca="false" t="array" ref="CR41:CR41">IF(AND($CC$40:$CC$41=$CC$40,$CD$40:$CD$41&lt;90,$CC$40&lt;&gt;$CC$39),1,0)</f>
        <v>0</v>
      </c>
      <c r="CS41" s="11" t="n">
        <f aca="false" t="array" ref="CS41:CS41">IF(AND($CC$41&lt;&gt;$CC$39,$CC$41&lt;&gt;$CC$38),1,0)</f>
        <v>1</v>
      </c>
      <c r="CT41" s="11" t="n">
        <f aca="false" t="array" ref="CT41:CT41">IF(AND($CC$38:$CC$41=$CC$38,$CD$38:$CD$41&lt;90,$CE$40:$CE$41=$CE$41,$CE$39&lt;&gt;$CE$41),1,0)</f>
        <v>0</v>
      </c>
      <c r="CU41" s="11" t="n">
        <f aca="false" t="array" ref="CU41:CU41">IF(AND($CC$38:$CC$41=$CC$38,$CD$38:$CD$41&lt;90,$CE$38:$CE$41=$CE$38,$CF$40=$CF$41,$CF$39&lt;&gt;$CF$40),1,0)</f>
        <v>0</v>
      </c>
      <c r="CV41" s="11" t="n">
        <f aca="false" t="array" ref="CV41:CV41">IF(AND($CC$38:$CC$40=$CC$38,$CD$38:$CD$39&lt;90,$CC$40&lt;&gt;$CC$41),1,0)</f>
        <v>0</v>
      </c>
      <c r="CW41" s="11" t="n">
        <f aca="false" t="array" ref="CW41:CW41">IF(AND($CC$39&lt;&gt;$CC$38,$CC$39:$CC$41=$CC$40,$CD$39&gt;90,$CD$40:$CD$41&lt;90),1,0)</f>
        <v>0</v>
      </c>
      <c r="CX41" s="11" t="n">
        <f aca="false" t="array" ref="CX41:CX41">IF(AND($CC$39&lt;&gt;$CC$38,$CC$39:$CC$41=$CC$39,$CD$41&gt;90,$CD$39:$CD$40&lt;90),1,0)</f>
        <v>0</v>
      </c>
      <c r="CY41" s="11" t="n">
        <f aca="false" t="array" ref="CY41:CY41">IF(AND($CC$41&lt;&gt;$CC$39,$CC$41&lt;&gt;$CC$40),1,0)</f>
        <v>1</v>
      </c>
      <c r="CZ41" s="11" t="n">
        <f aca="false" t="array" ref="CZ41:CZ41">IF(AND($CC$38:$CC$41=$CC$39,$CD$39:$CD$41&lt;90,$CD$38&lt;&gt;$CD$41),1,0)</f>
        <v>0</v>
      </c>
      <c r="DA41" s="11" t="n">
        <f aca="false" t="array" ref="DA41:DA41">IF(AND($CC$38:$CC$41=$CC$38,$CD$38:$CD$40&lt;90,$CD$40&lt;&gt;$CD$41),1,0)</f>
        <v>0</v>
      </c>
      <c r="DB41" s="11" t="n">
        <f aca="false" t="array" ref="DB41:DB41">IF(AND($CC$38:$CC$41=$CC$41,$CD$38:$CD$39&gt;90,$CD$40:$CD$41&lt;90,$CE$38:$CE$41=$CE$41,$CF$38&gt;$CF$39,$CF$39&gt;$CF$41,$CF$40=$CF$41),1,0)</f>
        <v>0</v>
      </c>
      <c r="DC41" s="11" t="n">
        <f aca="false" t="array" ref="DC41:DC41">IF(AND($CC$38:$CC$41=$CC$39,$CD$38&gt;90,$CD$39:$CD$40&lt;90,$CD$41&gt;90,$CE$38:$CE$41=$CE$41,$CF$38&gt;$CF$41,$CF$39=$CF$40,$CF$39&gt;$CF$41),1,0)</f>
        <v>0</v>
      </c>
      <c r="DD41" s="11" t="n">
        <f aca="false" t="array" ref="DD41:DD41">IF(AND($CC$38:$CC$41=$CC$41,$CD$38:$CD$39&lt;90,$CD$40:$CD$41&gt;90,$CE$38:$CE$41=$CE$41,$CF$38=$CF$39,$CF$39&gt;$CF$40,$CF$40&gt;$CF$41),1,0)</f>
        <v>0</v>
      </c>
      <c r="DE41" s="11" t="n">
        <f aca="false" t="array" ref="DE41:DE41">IF(AND($CC$38:$CC$41=$CC$41,$CD$38:$CD$39&gt;90,$CD$40:$CD$41&lt;90,$CE$38:$CE$41=$CE$41,$CF$38&gt;$CF$41,$CF$39:$CF$41=$CF$41),1,0)</f>
        <v>0</v>
      </c>
      <c r="DF41" s="11" t="n">
        <f aca="false" t="array" ref="DF41:DF41">IF(AND($CC$38:$CC$41=$CC$41,$CD$38:$CD$39&lt;90,$CD$40:$CD$41&gt;90,$CE$38:$CE$41=$CE$41,$CF$38:$CF$40=$CF$40,$CF$38:$CF$40&gt;$CF$41),1,0)</f>
        <v>0</v>
      </c>
      <c r="DG41" s="11" t="n">
        <f aca="false" t="array" ref="DG41:DG41">IF(AND($CC$38:$CC$41=$CC$41,$CD$38&gt;90,$CD$41&gt;90,$CD$39:$CD$40&lt;90,$CE$38:$CE$41=$CE$41,$CF$38&gt;$CF$39:$CF$41,$CF$39:$CF$41=$CF$41),1,0)</f>
        <v>0</v>
      </c>
      <c r="FI41" s="73"/>
      <c r="FK41" s="73"/>
      <c r="FM41" s="73"/>
    </row>
    <row r="42" s="11" customFormat="true" ht="15" hidden="false" customHeight="false" outlineLevel="0" collapsed="false">
      <c r="A42" s="12"/>
      <c r="B42" s="12"/>
      <c r="C42" s="12"/>
      <c r="D42" s="35"/>
      <c r="E42" s="15"/>
      <c r="F42" s="142"/>
      <c r="G42" s="15"/>
      <c r="H42" s="15"/>
      <c r="I42" s="15"/>
      <c r="J42" s="15"/>
      <c r="K42" s="15"/>
      <c r="L42" s="15"/>
      <c r="M42" s="14"/>
      <c r="N42" s="15"/>
      <c r="O42" s="141"/>
      <c r="P42" s="15"/>
      <c r="Q42" s="15"/>
      <c r="R42" s="15"/>
      <c r="S42" s="15"/>
      <c r="T42" s="15"/>
      <c r="U42" s="15"/>
      <c r="V42" s="15"/>
      <c r="W42" s="15"/>
      <c r="X42" s="15"/>
      <c r="Y42" s="15"/>
      <c r="Z42" s="15"/>
      <c r="AA42" s="142"/>
      <c r="AB42" s="15"/>
      <c r="AC42" s="143"/>
      <c r="AD42" s="70"/>
      <c r="AE42" s="71"/>
      <c r="AF42" s="24"/>
      <c r="AI42" s="10"/>
      <c r="AW42" s="31"/>
      <c r="AY42" s="72"/>
      <c r="BB42" s="73"/>
      <c r="BC42" s="73"/>
      <c r="BD42" s="73"/>
      <c r="BE42" s="73"/>
      <c r="BF42" s="73"/>
      <c r="BG42" s="73"/>
      <c r="BH42" s="73"/>
      <c r="BI42" s="73"/>
      <c r="BJ42" s="73"/>
      <c r="BK42" s="73"/>
      <c r="BL42" s="73"/>
      <c r="BM42" s="73"/>
      <c r="BN42" s="73"/>
      <c r="BO42" s="73"/>
      <c r="BP42" s="73"/>
      <c r="BQ42" s="73"/>
      <c r="BR42" s="73"/>
      <c r="BS42" s="73"/>
      <c r="BT42" s="10"/>
      <c r="BU42" s="10"/>
      <c r="BV42" s="10"/>
      <c r="BW42" s="10"/>
      <c r="BX42" s="10"/>
      <c r="BY42" s="10"/>
      <c r="BZ42" s="10"/>
      <c r="CA42" s="10"/>
      <c r="CB42" s="10"/>
      <c r="CC42" s="10"/>
      <c r="CD42" s="74"/>
      <c r="CE42" s="10"/>
      <c r="CF42" s="10"/>
      <c r="CG42" s="10"/>
      <c r="CH42" s="10"/>
      <c r="FI42" s="73"/>
      <c r="FK42" s="73"/>
      <c r="FM42" s="73"/>
    </row>
    <row r="43" s="11" customFormat="true" ht="15.75" hidden="false" customHeight="false" outlineLevel="0" collapsed="false">
      <c r="A43" s="12"/>
      <c r="B43" s="33"/>
      <c r="C43" s="12"/>
      <c r="D43" s="15"/>
      <c r="E43" s="25"/>
      <c r="F43" s="26" t="str">
        <f aca="false">F27</f>
        <v>Fecha</v>
      </c>
      <c r="G43" s="26" t="str">
        <f aca="false">G27</f>
        <v>Hora</v>
      </c>
      <c r="H43" s="27" t="str">
        <f aca="false">H27</f>
        <v>Jor.</v>
      </c>
      <c r="I43" s="28" t="str">
        <f aca="false">I27</f>
        <v>Casa</v>
      </c>
      <c r="J43" s="26"/>
      <c r="K43" s="29" t="str">
        <f aca="false">K27</f>
        <v>Gol</v>
      </c>
      <c r="L43" s="29" t="str">
        <f aca="false">L27</f>
        <v>Gol</v>
      </c>
      <c r="M43" s="29"/>
      <c r="N43" s="30" t="str">
        <f aca="false">N27</f>
        <v>Fuera</v>
      </c>
      <c r="O43" s="144"/>
      <c r="P43" s="21"/>
      <c r="Q43" s="21"/>
      <c r="R43" s="21"/>
      <c r="S43" s="21"/>
      <c r="T43" s="21"/>
      <c r="U43" s="21"/>
      <c r="V43" s="21"/>
      <c r="W43" s="21"/>
      <c r="X43" s="21"/>
      <c r="Y43" s="21"/>
      <c r="Z43" s="21"/>
      <c r="AA43" s="101"/>
      <c r="AB43" s="22"/>
      <c r="AC43" s="22"/>
      <c r="AD43" s="22"/>
      <c r="AE43" s="23"/>
      <c r="AF43" s="24"/>
      <c r="AW43" s="31"/>
      <c r="CH43" s="10"/>
      <c r="CL43" s="24" t="n">
        <v>1</v>
      </c>
      <c r="CM43" s="24" t="n">
        <v>12</v>
      </c>
      <c r="CN43" s="24" t="n">
        <v>18</v>
      </c>
      <c r="CO43" s="24" t="n">
        <v>19</v>
      </c>
      <c r="CP43" s="24" t="n">
        <v>13</v>
      </c>
      <c r="CQ43" s="24" t="n">
        <v>20</v>
      </c>
      <c r="CR43" s="24" t="n">
        <v>21</v>
      </c>
      <c r="CS43" s="24" t="n">
        <v>22</v>
      </c>
      <c r="CT43" s="24" t="n">
        <v>3</v>
      </c>
      <c r="CU43" s="24" t="n">
        <v>2</v>
      </c>
      <c r="CV43" s="24" t="n">
        <v>14</v>
      </c>
      <c r="CW43" s="24" t="n">
        <v>17</v>
      </c>
      <c r="CX43" s="24" t="n">
        <v>16</v>
      </c>
      <c r="CY43" s="24" t="n">
        <v>15</v>
      </c>
      <c r="CZ43" s="24" t="n">
        <v>4</v>
      </c>
      <c r="DA43" s="24" t="n">
        <v>5</v>
      </c>
      <c r="DB43" s="24" t="n">
        <v>10</v>
      </c>
      <c r="DC43" s="24" t="n">
        <v>8</v>
      </c>
      <c r="DD43" s="24" t="n">
        <v>6</v>
      </c>
      <c r="DE43" s="24" t="n">
        <v>11</v>
      </c>
      <c r="DF43" s="24" t="n">
        <v>7</v>
      </c>
      <c r="DG43" s="24" t="n">
        <v>9</v>
      </c>
      <c r="DH43" s="24"/>
      <c r="DI43" s="24"/>
      <c r="EC43" s="10" t="s">
        <v>19</v>
      </c>
      <c r="ED43" s="10" t="s">
        <v>20</v>
      </c>
      <c r="EE43" s="10" t="s">
        <v>21</v>
      </c>
      <c r="EF43" s="10" t="s">
        <v>22</v>
      </c>
      <c r="EG43" s="10" t="s">
        <v>23</v>
      </c>
      <c r="EH43" s="10" t="s">
        <v>24</v>
      </c>
      <c r="EI43" s="10" t="s">
        <v>25</v>
      </c>
      <c r="EJ43" s="10" t="s">
        <v>26</v>
      </c>
      <c r="EK43" s="10" t="s">
        <v>27</v>
      </c>
      <c r="EL43" s="10" t="s">
        <v>28</v>
      </c>
    </row>
    <row r="44" s="11" customFormat="true" ht="15" hidden="false" customHeight="true" outlineLevel="0" collapsed="false">
      <c r="A44" s="32" t="s">
        <v>29</v>
      </c>
      <c r="B44" s="33" t="s">
        <v>85</v>
      </c>
      <c r="C44" s="34" t="n">
        <f aca="false">COUNTIF(Equipos!$C$2:$C$33,MUNDIAL!B44)</f>
        <v>4</v>
      </c>
      <c r="D44" s="35"/>
      <c r="E44" s="256" t="s">
        <v>85</v>
      </c>
      <c r="F44" s="257" t="n">
        <f aca="false">Horarios!C44</f>
        <v>44888.5416666667</v>
      </c>
      <c r="G44" s="258" t="n">
        <f aca="false">Horarios!C44</f>
        <v>44888.5416666667</v>
      </c>
      <c r="H44" s="257" t="s">
        <v>31</v>
      </c>
      <c r="I44" s="259" t="str">
        <f aca="false">A47</f>
        <v>Marruecos</v>
      </c>
      <c r="J44" s="260" t="str">
        <f aca="false">VLOOKUP(I44,Equipos!$H$2:$I$33,2,0)</f>
        <v>🇲🇦</v>
      </c>
      <c r="K44" s="261" t="n">
        <v>0</v>
      </c>
      <c r="L44" s="261" t="n">
        <v>0</v>
      </c>
      <c r="M44" s="262" t="str">
        <f aca="false">VLOOKUP(N44,Equipos!$H$2:$I$33,2,0)</f>
        <v>🇭🇷</v>
      </c>
      <c r="N44" s="263" t="str">
        <f aca="false">A48</f>
        <v>Croacia</v>
      </c>
      <c r="O44" s="44" t="n">
        <f aca="false">IF(NOT(OR(ISBLANK(K44),ISBLANK(L44))),1,0)</f>
        <v>1</v>
      </c>
      <c r="P44" s="45"/>
      <c r="Q44" s="264" t="str">
        <f aca="false">CONCATENATE("Grupo"," ",B44)</f>
        <v>Grupo F</v>
      </c>
      <c r="R44" s="264"/>
      <c r="S44" s="264"/>
      <c r="T44" s="264"/>
      <c r="U44" s="264"/>
      <c r="V44" s="264"/>
      <c r="W44" s="264"/>
      <c r="X44" s="264"/>
      <c r="Y44" s="264"/>
      <c r="Z44" s="264"/>
      <c r="AA44" s="111"/>
      <c r="AB44" s="48" t="s">
        <v>32</v>
      </c>
      <c r="AC44" s="48"/>
      <c r="AD44" s="48"/>
      <c r="AE44" s="23"/>
      <c r="AF44" s="24"/>
      <c r="AH44" s="11" t="str">
        <f aca="false">CONCATENATE("Auxiliar - ",Q44)</f>
        <v>Auxiliar - Grupo F</v>
      </c>
      <c r="AU44" s="11" t="s">
        <v>33</v>
      </c>
      <c r="AW44" s="31"/>
      <c r="AY44" s="24" t="str">
        <f aca="false">CONCATENATE(Q44," - GOLAVERAGE")</f>
        <v>Grupo F - GOLAVERAGE</v>
      </c>
      <c r="BB44" s="11" t="s">
        <v>35</v>
      </c>
      <c r="BH44" s="11" t="s">
        <v>36</v>
      </c>
      <c r="BN44" s="11" t="s">
        <v>37</v>
      </c>
      <c r="BO44" s="73"/>
      <c r="BP44" s="73"/>
      <c r="BQ44" s="73"/>
      <c r="BR44" s="73"/>
      <c r="BS44" s="73"/>
      <c r="BT44" s="10"/>
      <c r="BU44" s="10"/>
      <c r="BV44" s="10"/>
      <c r="BW44" s="10"/>
      <c r="BX44" s="10"/>
      <c r="BY44" s="10"/>
      <c r="BZ44" s="10"/>
      <c r="CA44" s="10"/>
      <c r="CB44" s="10"/>
      <c r="CC44" s="10"/>
      <c r="CD44" s="10"/>
      <c r="CE44" s="10"/>
      <c r="CF44" s="10"/>
      <c r="CG44" s="10"/>
      <c r="CH44" s="10"/>
      <c r="CI44" s="11" t="s">
        <v>38</v>
      </c>
      <c r="CK44" s="11" t="s">
        <v>39</v>
      </c>
      <c r="CL44" s="11" t="n">
        <f aca="false">SUM(CL46:CL49)</f>
        <v>0</v>
      </c>
      <c r="CM44" s="11" t="n">
        <f aca="false">SUM(CM46:CM49)</f>
        <v>0</v>
      </c>
      <c r="CN44" s="11" t="n">
        <f aca="false">SUM(CN46:CN49)</f>
        <v>0</v>
      </c>
      <c r="CO44" s="11" t="n">
        <f aca="false">SUM(CO46:CO49)</f>
        <v>2</v>
      </c>
      <c r="CP44" s="11" t="n">
        <f aca="false">SUM(CP46:CP49)</f>
        <v>0</v>
      </c>
      <c r="CQ44" s="11" t="n">
        <f aca="false">SUM(CQ46:CQ49)</f>
        <v>2</v>
      </c>
      <c r="CR44" s="11" t="n">
        <f aca="false">SUM(CR46:CR49)</f>
        <v>2</v>
      </c>
      <c r="CS44" s="11" t="n">
        <f aca="false">SUM(CS46:CS49)</f>
        <v>4</v>
      </c>
      <c r="CT44" s="11" t="n">
        <f aca="false">SUM(CT46:CT49)</f>
        <v>0</v>
      </c>
      <c r="CU44" s="11" t="n">
        <f aca="false">SUM(CU46:CU49)</f>
        <v>0</v>
      </c>
      <c r="CV44" s="11" t="n">
        <f aca="false">SUM(CV46:CV49)</f>
        <v>0</v>
      </c>
      <c r="CW44" s="11" t="n">
        <f aca="false">SUM(CW46:CW49)</f>
        <v>1</v>
      </c>
      <c r="CX44" s="11" t="n">
        <f aca="false">SUM(CX46:CX49)</f>
        <v>1</v>
      </c>
      <c r="CY44" s="11" t="n">
        <f aca="false">SUM(CY46:CY49)</f>
        <v>1</v>
      </c>
      <c r="CZ44" s="11" t="n">
        <f aca="false">SUM(CZ46:CZ49)</f>
        <v>0</v>
      </c>
      <c r="DA44" s="11" t="n">
        <f aca="false">SUM(DA46:DA49)</f>
        <v>0</v>
      </c>
      <c r="DB44" s="11" t="n">
        <f aca="false">SUM(DB46:DB49)</f>
        <v>0</v>
      </c>
      <c r="DC44" s="11" t="n">
        <f aca="false">SUM(DC46:DC49)</f>
        <v>0</v>
      </c>
      <c r="DD44" s="11" t="n">
        <f aca="false">SUM(DD46:DD49)</f>
        <v>0</v>
      </c>
      <c r="DE44" s="11" t="n">
        <f aca="false">SUM(DE46:DE49)</f>
        <v>0</v>
      </c>
      <c r="DF44" s="11" t="n">
        <f aca="false">SUM(DF46:DF49)</f>
        <v>0</v>
      </c>
      <c r="DG44" s="11" t="n">
        <f aca="false">SUM(DG46:DG49)</f>
        <v>0</v>
      </c>
      <c r="EC44" s="10" t="n">
        <v>1234</v>
      </c>
      <c r="ED44" s="10" t="n">
        <v>123</v>
      </c>
      <c r="EE44" s="10" t="n">
        <v>12</v>
      </c>
      <c r="EF44" s="10" t="n">
        <v>234</v>
      </c>
      <c r="EG44" s="10" t="n">
        <v>34</v>
      </c>
      <c r="EH44" s="10" t="n">
        <v>23</v>
      </c>
      <c r="EI44" s="10" t="n">
        <v>1</v>
      </c>
      <c r="EJ44" s="10" t="n">
        <v>2</v>
      </c>
      <c r="EK44" s="10" t="n">
        <v>3</v>
      </c>
      <c r="EL44" s="10" t="n">
        <v>4</v>
      </c>
      <c r="FM44" s="73"/>
    </row>
    <row r="45" s="11" customFormat="true" ht="15.75" hidden="false" customHeight="false" outlineLevel="0" collapsed="false">
      <c r="A45" s="32" t="str">
        <f aca="true" t="array" ref="A45:A45">IF(ROWS(A$45:A45)&lt;=$C$44,INDEX(INDIRECT(A$44),SMALL(IF(Nivell=$B$44,ROW(Nivell)-ROW(Equipos!$C$2)+1),ROWS(B$44:B44))),"")</f>
        <v>Bélgica</v>
      </c>
      <c r="B45" s="33"/>
      <c r="C45" s="33"/>
      <c r="D45" s="35"/>
      <c r="E45" s="256"/>
      <c r="F45" s="265" t="n">
        <f aca="false">Horarios!C45</f>
        <v>44888.9166666667</v>
      </c>
      <c r="G45" s="266" t="n">
        <f aca="false">Horarios!C45</f>
        <v>44888.9166666667</v>
      </c>
      <c r="H45" s="265" t="s">
        <v>31</v>
      </c>
      <c r="I45" s="267" t="str">
        <f aca="false">A45</f>
        <v>Bélgica</v>
      </c>
      <c r="J45" s="268" t="str">
        <f aca="false">VLOOKUP(I45,Equipos!$H$2:$I$33,2,0)</f>
        <v>🇧🇪</v>
      </c>
      <c r="K45" s="269" t="n">
        <v>1</v>
      </c>
      <c r="L45" s="269" t="n">
        <v>0</v>
      </c>
      <c r="M45" s="270" t="str">
        <f aca="false">VLOOKUP(N45,Equipos!$H$2:$I$33,2,0)</f>
        <v>🇨🇦</v>
      </c>
      <c r="N45" s="271" t="str">
        <f aca="false">A46</f>
        <v>Canadá</v>
      </c>
      <c r="O45" s="44" t="n">
        <f aca="false">IF(NOT(OR(ISBLANK(K45),ISBLANK(L45))),1,0)</f>
        <v>1</v>
      </c>
      <c r="P45" s="45"/>
      <c r="Q45" s="272" t="s">
        <v>40</v>
      </c>
      <c r="R45" s="273" t="s">
        <v>41</v>
      </c>
      <c r="S45" s="274" t="s">
        <v>42</v>
      </c>
      <c r="T45" s="274" t="s">
        <v>43</v>
      </c>
      <c r="U45" s="274" t="s">
        <v>44</v>
      </c>
      <c r="V45" s="274" t="s">
        <v>45</v>
      </c>
      <c r="W45" s="274" t="s">
        <v>46</v>
      </c>
      <c r="X45" s="274" t="s">
        <v>47</v>
      </c>
      <c r="Y45" s="274" t="s">
        <v>48</v>
      </c>
      <c r="Z45" s="275" t="s">
        <v>49</v>
      </c>
      <c r="AA45" s="111" t="n">
        <f aca="false">COUNTIF(AA46:AA49,"&lt;100")</f>
        <v>0</v>
      </c>
      <c r="AB45" s="48"/>
      <c r="AC45" s="48"/>
      <c r="AD45" s="48"/>
      <c r="AE45" s="23"/>
      <c r="AF45" s="24"/>
      <c r="AG45" s="60" t="s">
        <v>33</v>
      </c>
      <c r="AH45" s="60" t="s">
        <v>50</v>
      </c>
      <c r="AI45" s="60" t="s">
        <v>51</v>
      </c>
      <c r="AJ45" s="60" t="s">
        <v>52</v>
      </c>
      <c r="AK45" s="60" t="s">
        <v>43</v>
      </c>
      <c r="AL45" s="60" t="s">
        <v>44</v>
      </c>
      <c r="AM45" s="60" t="s">
        <v>45</v>
      </c>
      <c r="AN45" s="60" t="s">
        <v>46</v>
      </c>
      <c r="AO45" s="60" t="s">
        <v>47</v>
      </c>
      <c r="AP45" s="60" t="s">
        <v>48</v>
      </c>
      <c r="AQ45" s="60" t="s">
        <v>53</v>
      </c>
      <c r="AR45" s="60" t="s">
        <v>54</v>
      </c>
      <c r="AS45" s="60" t="s">
        <v>50</v>
      </c>
      <c r="AW45" s="31"/>
      <c r="AY45" s="60" t="s">
        <v>51</v>
      </c>
      <c r="AZ45" s="60" t="s">
        <v>56</v>
      </c>
      <c r="BA45" s="60" t="s">
        <v>57</v>
      </c>
      <c r="BB45" s="60" t="s">
        <v>58</v>
      </c>
      <c r="BC45" s="60" t="s">
        <v>59</v>
      </c>
      <c r="BD45" s="60" t="str">
        <f aca="false">AY46</f>
        <v>Bélgica</v>
      </c>
      <c r="BE45" s="60" t="str">
        <f aca="false">AY47</f>
        <v>Canadá</v>
      </c>
      <c r="BF45" s="60" t="str">
        <f aca="false">AY48</f>
        <v>Marruecos</v>
      </c>
      <c r="BG45" s="60" t="str">
        <f aca="false">AY49</f>
        <v>Croacia</v>
      </c>
      <c r="BH45" s="60" t="s">
        <v>58</v>
      </c>
      <c r="BI45" s="60" t="s">
        <v>59</v>
      </c>
      <c r="BJ45" s="60" t="str">
        <f aca="false">BD45</f>
        <v>Bélgica</v>
      </c>
      <c r="BK45" s="60" t="str">
        <f aca="false">BE45</f>
        <v>Canadá</v>
      </c>
      <c r="BL45" s="60" t="str">
        <f aca="false">BF45</f>
        <v>Marruecos</v>
      </c>
      <c r="BM45" s="60" t="str">
        <f aca="false">BG45</f>
        <v>Croacia</v>
      </c>
      <c r="BN45" s="60" t="s">
        <v>58</v>
      </c>
      <c r="BO45" s="60" t="s">
        <v>59</v>
      </c>
      <c r="BP45" s="60" t="str">
        <f aca="false">BD45</f>
        <v>Bélgica</v>
      </c>
      <c r="BQ45" s="60" t="str">
        <f aca="false">BE45</f>
        <v>Canadá</v>
      </c>
      <c r="BR45" s="60" t="str">
        <f aca="false">BF45</f>
        <v>Marruecos</v>
      </c>
      <c r="BS45" s="60" t="str">
        <f aca="false">BG45</f>
        <v>Croacia</v>
      </c>
      <c r="BT45" s="10"/>
      <c r="BU45" s="61"/>
      <c r="BV45" s="61" t="s">
        <v>60</v>
      </c>
      <c r="BW45" s="61"/>
      <c r="BX45" s="61" t="s">
        <v>62</v>
      </c>
      <c r="BY45" s="61"/>
      <c r="BZ45" s="10"/>
      <c r="CA45" s="61"/>
      <c r="CB45" s="61" t="s">
        <v>51</v>
      </c>
      <c r="CC45" s="61" t="s">
        <v>52</v>
      </c>
      <c r="CD45" s="61" t="s">
        <v>63</v>
      </c>
      <c r="CE45" s="61" t="s">
        <v>53</v>
      </c>
      <c r="CF45" s="61" t="s">
        <v>64</v>
      </c>
      <c r="CG45" s="61"/>
      <c r="CH45" s="10"/>
      <c r="CK45" s="11" t="s">
        <v>65</v>
      </c>
      <c r="CL45" s="11" t="s">
        <v>66</v>
      </c>
      <c r="CM45" s="11" t="s">
        <v>67</v>
      </c>
      <c r="CN45" s="11" t="s">
        <v>68</v>
      </c>
      <c r="CO45" s="11" t="s">
        <v>69</v>
      </c>
      <c r="CP45" s="11" t="s">
        <v>70</v>
      </c>
      <c r="CQ45" s="11" t="s">
        <v>71</v>
      </c>
      <c r="CR45" s="11" t="s">
        <v>72</v>
      </c>
      <c r="CS45" s="11" t="s">
        <v>73</v>
      </c>
      <c r="CT45" s="11" t="s">
        <v>68</v>
      </c>
      <c r="CU45" s="11" t="s">
        <v>68</v>
      </c>
      <c r="CV45" s="11" t="s">
        <v>69</v>
      </c>
      <c r="CW45" s="11" t="s">
        <v>72</v>
      </c>
      <c r="CX45" s="11" t="s">
        <v>71</v>
      </c>
      <c r="CY45" s="11" t="s">
        <v>71</v>
      </c>
      <c r="CZ45" s="11" t="s">
        <v>70</v>
      </c>
      <c r="DA45" s="11" t="s">
        <v>67</v>
      </c>
      <c r="DB45" s="11" t="s">
        <v>72</v>
      </c>
      <c r="DC45" s="11" t="s">
        <v>71</v>
      </c>
      <c r="DD45" s="11" t="s">
        <v>69</v>
      </c>
      <c r="DE45" s="11" t="s">
        <v>72</v>
      </c>
      <c r="DF45" s="11" t="s">
        <v>69</v>
      </c>
      <c r="DG45" s="11" t="s">
        <v>71</v>
      </c>
      <c r="EC45" s="10" t="n">
        <v>1</v>
      </c>
      <c r="ED45" s="10" t="n">
        <v>1</v>
      </c>
      <c r="EE45" s="10" t="n">
        <v>1</v>
      </c>
      <c r="EF45" s="10" t="n">
        <v>2</v>
      </c>
      <c r="EG45" s="10" t="n">
        <v>3</v>
      </c>
      <c r="EH45" s="10" t="n">
        <v>2</v>
      </c>
      <c r="EI45" s="10" t="n">
        <v>1</v>
      </c>
      <c r="EJ45" s="10" t="n">
        <v>2</v>
      </c>
      <c r="EK45" s="10" t="n">
        <v>3</v>
      </c>
      <c r="EL45" s="10" t="n">
        <v>4</v>
      </c>
      <c r="FI45" s="60"/>
      <c r="FK45" s="60"/>
      <c r="FM45" s="60"/>
    </row>
    <row r="46" s="11" customFormat="true" ht="15" hidden="false" customHeight="false" outlineLevel="0" collapsed="false">
      <c r="A46" s="32" t="str">
        <f aca="true" t="array" ref="A46:A46">IF(ROWS(A$45:A46)&lt;=$C$44,INDEX(INDIRECT(A$44),SMALL(IF(Nivell=$B$44,ROW(Nivell)-ROW(Equipos!$C$2)+1),ROWS(B$44:B45))),"")</f>
        <v>Canadá</v>
      </c>
      <c r="B46" s="33"/>
      <c r="C46" s="62"/>
      <c r="D46" s="35"/>
      <c r="E46" s="256"/>
      <c r="F46" s="265" t="n">
        <f aca="false">Horarios!C46</f>
        <v>44892.6666666667</v>
      </c>
      <c r="G46" s="266" t="n">
        <f aca="false">Horarios!C46</f>
        <v>44892.6666666667</v>
      </c>
      <c r="H46" s="265" t="s">
        <v>74</v>
      </c>
      <c r="I46" s="267" t="str">
        <f aca="false">A45</f>
        <v>Bélgica</v>
      </c>
      <c r="J46" s="268" t="str">
        <f aca="false">VLOOKUP(I46,Equipos!$H$2:$I$33,2,0)</f>
        <v>🇧🇪</v>
      </c>
      <c r="K46" s="269" t="n">
        <v>0</v>
      </c>
      <c r="L46" s="269" t="n">
        <v>2</v>
      </c>
      <c r="M46" s="270" t="str">
        <f aca="false">VLOOKUP(N46,Equipos!$H$2:$I$33,2,0)</f>
        <v>🇲🇦</v>
      </c>
      <c r="N46" s="271" t="str">
        <f aca="false">A47</f>
        <v>Marruecos</v>
      </c>
      <c r="O46" s="44" t="n">
        <f aca="false">IF(NOT(OR(ISBLANK(K46),ISBLANK(L46))),1,0)</f>
        <v>1</v>
      </c>
      <c r="P46" s="45"/>
      <c r="Q46" s="276" t="n">
        <v>1</v>
      </c>
      <c r="R46" s="277" t="str">
        <f aca="false">VLOOKUP(Q46,$AG$46:$AI$49,3,0)</f>
        <v>Marruecos</v>
      </c>
      <c r="S46" s="278" t="n">
        <f aca="false">VLOOKUP(R46,$AI$46:$AR$49,2,0)</f>
        <v>7</v>
      </c>
      <c r="T46" s="278" t="n">
        <f aca="false">VLOOKUP($R46,$AI$46:$AR$49,3,0)</f>
        <v>3</v>
      </c>
      <c r="U46" s="278" t="n">
        <f aca="false">VLOOKUP($R46,$AI$46:$AR$49,4,0)</f>
        <v>2</v>
      </c>
      <c r="V46" s="278" t="n">
        <f aca="false">VLOOKUP($R46,$AI$46:$AR$49,5,0)</f>
        <v>1</v>
      </c>
      <c r="W46" s="278" t="n">
        <f aca="false">VLOOKUP($R46,$AI$46:$AR$49,6,0)</f>
        <v>0</v>
      </c>
      <c r="X46" s="278" t="n">
        <f aca="false">VLOOKUP($R46,$AI$46:$AR$49,7,0)</f>
        <v>4</v>
      </c>
      <c r="Y46" s="278" t="n">
        <f aca="false">VLOOKUP($R46,$AI$46:$AR$49,8,0)</f>
        <v>1</v>
      </c>
      <c r="Z46" s="279" t="n">
        <f aca="false">VLOOKUP($R46,$AI$46:$AR$49,9,0)</f>
        <v>3</v>
      </c>
      <c r="AA46" s="67" t="n">
        <f aca="false">IF(SUM($AK$46:$AK$49)=12,MIN(ABS(BY45-BY46),ABS(BY46-BY47)),100)</f>
        <v>2222000000.01</v>
      </c>
      <c r="AB46" s="68" t="str">
        <f aca="false">IF(AND(AA46&gt;=0,AA46&lt;90),VLOOKUP(Q46,$BU$46:$BV$49,2,0),"")</f>
        <v/>
      </c>
      <c r="AC46" s="69"/>
      <c r="AD46" s="70"/>
      <c r="AE46" s="71"/>
      <c r="AF46" s="24" t="n">
        <f aca="false">VLOOKUP($R46,$AI$46:$AR$49,10,0)</f>
        <v>7796210499.77</v>
      </c>
      <c r="AG46" s="11" t="n">
        <f aca="false">RANK(AU46,$AU$46:$AU$49)</f>
        <v>3</v>
      </c>
      <c r="AH46" s="11" t="n">
        <f aca="false">RANK(AR46,$AR$46:$AR$49)</f>
        <v>3</v>
      </c>
      <c r="AI46" s="10" t="str">
        <f aca="false">A45</f>
        <v>Bélgica</v>
      </c>
      <c r="AJ46" s="11" t="n">
        <f aca="false">AL46*3+AM46*1+AN46*0</f>
        <v>4</v>
      </c>
      <c r="AK46" s="11" t="n">
        <f aca="false">COUNTIFS($I$4:$I$65,AI46,$K$4:$K$65,"&lt;&gt;",$L$4:$L$65,"&lt;&gt;")+COUNTIFS($N$4:$N$65,AI46,$L$4:$L$65,"&lt;&gt;",$K$4:$K$65,"&lt;&gt;")</f>
        <v>3</v>
      </c>
      <c r="AL46" s="11" t="n">
        <f aca="false" t="array" ref="AL46:AL46">SUM(($I$4:$I$65=AI46)*($K$4:$K$65&lt;&gt;"")*($L$4:$L$65&lt;&gt;"")*($K$4:$K$65&gt;$L$4:$L$65),($N$4:$N$65=AI46)*($K$4:$K$65&lt;&gt;"")*($L$4:$L$65&lt;&gt;"")*($K$4:$K$65&lt;$L$4:$L$65))</f>
        <v>1</v>
      </c>
      <c r="AM46" s="11" t="n">
        <f aca="false" t="array" ref="AM46:AM46">SUM(($I$4:$I$65=AI46)*($K$4:$K$65&lt;&gt;"")*($L$4:$L$65&lt;&gt;"")*($K$4:$K$65=$L$4:$L$65),($N$4:$N$65=AI46)*($K$4:$K$65&lt;&gt;"")*($L$4:$L$65&lt;&gt;"")*($K$4:$K$65=$L$4:$L$65))</f>
        <v>1</v>
      </c>
      <c r="AN46" s="11" t="n">
        <f aca="false" t="array" ref="AN46:AN46">SUM(($I$4:$I$65=AI46)*($L$4:$L$65&lt;&gt;"")*($K$4:$K$65&lt;&gt;"")*($K$4:$K$65&lt;$L$4:$L$65),($K$4:$K$65&lt;&gt;"")*($N$4:$N$65=AI46)*($L$4:$L$65&lt;&gt;"")*($K$4:$K$65&gt;$L$4:$L$65))</f>
        <v>1</v>
      </c>
      <c r="AO46" s="11" t="n">
        <f aca="false" t="array" ref="AO46:AO46">SUMIFS($K$4:$K$65,$I$4:$I$65,AI46,$K$4:$K$65,"&lt;&gt;",$L$4:$L$65,"&lt;&gt;")+SUMIFS($L$4:$L$65,$N$4:$N$65,AI46,$K$4:$K$65,"&lt;&gt;",$L$4:$L$65,"&lt;&gt;")</f>
        <v>1</v>
      </c>
      <c r="AP46" s="11" t="n">
        <f aca="false" t="array" ref="AP46:AP46">SUMIFS($K$4:$K$65,$N$4:$N$65,AI46,$K$4:$K$65,"&lt;&gt;",$L$4:$L$65,"&lt;&gt;")+SUMIFS($L$4:$L$65,$I$4:$I$65,AI46,$K$4:$K$65,"&lt;&gt;",$L$4:$L$65,"&lt;&gt;")</f>
        <v>2</v>
      </c>
      <c r="AQ46" s="11" t="n">
        <f aca="false">AO46-AP46</f>
        <v>-1</v>
      </c>
      <c r="AR46" s="11" t="n">
        <f aca="false">IF(AK46=0,-($AW$11*VLOOKUP(AI46,Tabla3[[NombreEquipo]:[Rank]],3,0)),AJ46*$AW$4+AQ46*$AW$5+AO46*$AW$6+BA46-($AW$11*VLOOKUP(AI46,Tabla3[[NombreEquipo]:[Rank]],3,0)/100))</f>
        <v>4440210499.79</v>
      </c>
      <c r="AS46" s="11" t="n">
        <f aca="false">AH46</f>
        <v>3</v>
      </c>
      <c r="AU46" s="11" t="n">
        <f aca="false">IFERROR(AR46-VLOOKUP(AI46,$AB$46:$AC$49,2,0),AR46)</f>
        <v>4440210499.79</v>
      </c>
      <c r="AW46" s="31"/>
      <c r="AY46" s="72" t="str">
        <f aca="false">AI46</f>
        <v>Bélgica</v>
      </c>
      <c r="AZ46" s="11" t="n">
        <f aca="false">COUNTIF(AJ46:AJ49,AJ46)</f>
        <v>1</v>
      </c>
      <c r="BA46" s="11" t="n">
        <f aca="false">(BB46*$AW$9)+(BH46*$AW$8)+(BN46*$AW$7)</f>
        <v>210500</v>
      </c>
      <c r="BB46" s="73" t="n">
        <f aca="false">RANK(BC46,BC46:BC49,1)</f>
        <v>1</v>
      </c>
      <c r="BC46" s="73" t="n">
        <f aca="false">SUM(IF(AND(AJ46=AJ47,AQ46=AQ47,AO46=AO47),BE46,0),IF(AND(AJ46=AJ48,AQ46=AQ48,AO46=AO48),BF46,0),IF(AND(AJ46=AJ49,AQ46=AQ49,AO46=AO49),BG46,0))</f>
        <v>0</v>
      </c>
      <c r="BD46" s="73" t="n">
        <v>0</v>
      </c>
      <c r="BE46" s="73" t="n">
        <f aca="false" t="array" ref="BE46:BE46">SUMIFS($K$44:$K$49,$I$44:$I$49,$AY46,$K$44:$K$49,"&lt;&gt;",$L$44:$L$49,"&lt;&gt;",$N$44:$N$49,BE45)+SUMIFS($L$44:$L$49,$I$44:$I$49,BE45,$K$44:$K$49,"&lt;&gt;",$L$44:$L$49,"&lt;&gt;",$N$44:$N$49,$AY46)</f>
        <v>1</v>
      </c>
      <c r="BF46" s="73" t="n">
        <f aca="false" t="array" ref="BF46:BF46">SUMIFS($K$44:$K$49,$I$44:$I$49,$AY46,$K$44:$K$49,"&lt;&gt;",$L$44:$L$49,"&lt;&gt;",$N$44:$N$49,BF45)+SUMIFS($L$44:$L$49,$I$44:$I$49,BF45,$K$44:$K$49,"&lt;&gt;",$L$44:$L$49,"&lt;&gt;",$N$44:$N$49,$AY46)</f>
        <v>0</v>
      </c>
      <c r="BG46" s="73" t="n">
        <f aca="false" t="array" ref="BG46:BG46">SUMIFS($K$44:$K$49,$I$44:$I$49,$AY46,$K$44:$K$49,"&lt;&gt;",$L$44:$L$49,"&lt;&gt;",$N$44:$N$49,BG45)+SUMIFS($L$44:$L$49,$I$44:$I$49,BG45,$K$44:$K$49,"&lt;&gt;",$L$44:$L$49,"&lt;&gt;",$N$44:$N$49,$AY46)</f>
        <v>0</v>
      </c>
      <c r="BH46" s="73" t="n">
        <f aca="false">RANK(BI46,BI46:BI49,1)</f>
        <v>1</v>
      </c>
      <c r="BI46" s="73" t="n">
        <f aca="false">SUM(IF(AND(AJ46=AJ47,AQ46=AQ47,AO46=AO47),BK46,0),IF(AND(AJ46=AJ48,AQ46=AQ48,AO46=AO48),BL46,0),IF(AND(AJ46=AJ49,AQ46=AQ49,AO46=AO49),BM46,0))</f>
        <v>0</v>
      </c>
      <c r="BJ46" s="73" t="n">
        <v>0</v>
      </c>
      <c r="BK46" s="73" t="n">
        <f aca="false">BE46-BD47</f>
        <v>1</v>
      </c>
      <c r="BL46" s="73" t="n">
        <f aca="false">BF46-BD48</f>
        <v>-2</v>
      </c>
      <c r="BM46" s="73" t="n">
        <f aca="false">BG46-BD49</f>
        <v>0</v>
      </c>
      <c r="BN46" s="73" t="n">
        <f aca="false">RANK(BO46,BO46:BO49,1)</f>
        <v>1</v>
      </c>
      <c r="BO46" s="73" t="n">
        <f aca="false">SUM(IF(AND(AJ46=AJ47,AQ46=AQ47,AO46=AO47),BQ46,0),IF(AND(AJ46=AJ48,AQ46=AQ48,AO46=AO48),BR46,0),IF(AND(AJ46=AJ49,AQ46=AQ49,AO46=AO49),BS46,0))</f>
        <v>0</v>
      </c>
      <c r="BP46" s="73" t="n">
        <v>0</v>
      </c>
      <c r="BQ46" s="73" t="n">
        <f aca="false" t="array" ref="BQ46:BQ46">SUM((I$4:I$49=AY46)*(N$4:N$49=BQ45)*(K$4:K$49&lt;&gt;"")*(L$4:L$49&lt;&gt;"")*(K$4:K$49&gt;L$4:L$49)*3,(N$4:N$49=AY46)*(I$4:I$49=BQ45)*(K$4:K$49&lt;&gt;"")*(L$4:L$49&lt;&gt;"")*(K$4:K$49=L$4:L$49)*1,(N$4:N$49=AY46)*(I$4:I$49=BQ45)*(K$4:K$49&lt;&gt;"")*(L$4:L$49&lt;&gt;"")*(K$4:K$49&lt;L$4:L$49)*3,(I$4:I$49=AY46)*(N$4:N$49=BQ45)*(K$4:K$49&lt;&gt;"")*(L$4:L$49&lt;&gt;"")*(K$4:K$49=L$4:L$49)*1)</f>
        <v>3</v>
      </c>
      <c r="BR46" s="73" t="n">
        <f aca="false" t="array" ref="BR46:BR46">SUM((I$4:I$49=AY46)*(N$4:N$49=BR45)*(K$4:K$49&lt;&gt;"")*(L$4:L$49&lt;&gt;"")*(K$4:K$49&gt;L$4:L$49)*3,(N$4:N$49=AY46)*(I$4:I$49=BR45)*(K$4:K$49&lt;&gt;"")*(L$4:L$49&lt;&gt;"")*(K$4:K$49=L$4:L$49)*1,(N$4:N$49=AY46)*(I$4:I$49=BR45)*(K$4:K$49&lt;&gt;"")*(L$4:L$49&lt;&gt;"")*(K$4:K$49&lt;L$4:L$49)*3,(I$4:I$49=AY46)*(N$4:N$49=BR45)*(K$4:K$49&lt;&gt;"")*(L$4:L$49&lt;&gt;"")*(K$4:K$49=L$4:L$49)*1)</f>
        <v>0</v>
      </c>
      <c r="BS46" s="73" t="n">
        <f aca="false" t="array" ref="BS46:BS46">SUM((I$4:I$49=AY46)*(N$4:N$49=BS45)*(K$4:K$49&lt;&gt;"")*(L$4:L$49&lt;&gt;"")*(K$4:K$49&gt;L$4:L$49)*3,(N$4:N$49=AY46)*(I$4:I$49=BS45)*(K$4:K$49&lt;&gt;"")*(L$4:L$49&lt;&gt;"")*(K$4:K$49=L$4:L$49)*1,(N$4:N$49=AY46)*(I$4:I$49=BS45)*(K$4:K$49&lt;&gt;"")*(L$4:L$49&lt;&gt;"")*(K$4:K$49&lt;L$4:L$49)*3,(I$4:I$49=AY46)*(N$4:N$49=BS45)*(K$4:K$49&lt;&gt;"")*(L$4:L$49&lt;&gt;"")*(K$4:K$49=L$4:L$49)*1)</f>
        <v>1</v>
      </c>
      <c r="BT46" s="10" t="n">
        <v>1</v>
      </c>
      <c r="BU46" s="10" t="n">
        <f aca="false">RANK(BW46,$BW$46:$BW$49)</f>
        <v>3</v>
      </c>
      <c r="BV46" s="10" t="str">
        <f aca="false">A45</f>
        <v>Bélgica</v>
      </c>
      <c r="BW46" s="10" t="n">
        <f aca="false">IF(AK46=0,-($AW$11*VLOOKUP(AI46,Tabla3[[NombreEquipo]:[Rank]],3,0)),AJ46*$AW$4+BA46+AQ46*$AW$8+AO46*$AW$9+AL46*$AW$10-($AW$11*VLOOKUP(AI46,Tabla3[[NombreEquipo]:[Rank]],3,0)/100))</f>
        <v>4444201099.79</v>
      </c>
      <c r="BX46" s="10" t="str">
        <f aca="false">VLOOKUP(Q46,$AH$46:$AI$49,2,0)</f>
        <v>Marruecos</v>
      </c>
      <c r="BY46" s="10" t="n">
        <f aca="false">VLOOKUP($BX46,$AI$46:$AR$49,10,0)</f>
        <v>7796210499.77</v>
      </c>
      <c r="BZ46" s="10"/>
      <c r="CA46" s="10" t="n">
        <v>1</v>
      </c>
      <c r="CB46" s="10" t="str">
        <f aca="false">VLOOKUP(CA46,$AH$46:$AI$49,2,0)</f>
        <v>Marruecos</v>
      </c>
      <c r="CC46" s="10" t="n">
        <f aca="false">VLOOKUP(CB46,$AI$46:$AR$49,2,0)</f>
        <v>7</v>
      </c>
      <c r="CD46" s="74" t="n">
        <f aca="false">IF(SUM($AK$46:$AK$49)=12,MIN(ABS(BY45-BY46),ABS(BY46-BY47)),100)</f>
        <v>2222000000.01</v>
      </c>
      <c r="CE46" s="10" t="n">
        <f aca="false">VLOOKUP($CB46,$AI$46:$AR$49,9,0)</f>
        <v>3</v>
      </c>
      <c r="CF46" s="10" t="n">
        <f aca="false">VLOOKUP($CB46,$AI$46:$AR$49,7,0)</f>
        <v>4</v>
      </c>
      <c r="CG46" s="10"/>
      <c r="CH46" s="10" t="n">
        <f aca="false" t="array" ref="CH46:CH46">IF($CI$46=$CL$45,$EC$45:$EC$48,IF($CI$46=$CM$45,$ED$45:$ED$47,IF(OR($CI$46=$CN$45,$CI$46=$CO$45),$EE$45:$EE$46,$EI$45)))</f>
        <v>1</v>
      </c>
      <c r="CI46" s="11" t="str">
        <f aca="false">IFERROR(HLOOKUP(4,CL44:DI45,2,0),CS45)</f>
        <v>COM_8</v>
      </c>
      <c r="CK46" s="11" t="n">
        <v>1</v>
      </c>
      <c r="CL46" s="11" t="n">
        <f aca="false" t="array" ref="CL46:CL46">IF(AND($CC$46:$CC$49=$CC$46,$CD$46:$CD$49&lt;90,$AQ$46:$AQ$49=$AQ$46,$CF$46:$CF$49=$CF$46),1,0)</f>
        <v>0</v>
      </c>
      <c r="CM46" s="11" t="n">
        <f aca="false" t="array" ref="CM46:CM46">IF(AND($CC$46:$CC$48=$CC$46,$CD$46:$CD$48&lt;90,$CC$46&lt;&gt;$CC$49),1,0)</f>
        <v>0</v>
      </c>
      <c r="CN46" s="11" t="n">
        <f aca="false" t="array" ref="CN46:CN46">IF(AND($CC$46:$CC$47=$CC$46,$CD$46:$CD$47&lt;90,$CC$46&lt;&gt;$CC$48),1,0)</f>
        <v>0</v>
      </c>
      <c r="CO46" s="11" t="n">
        <f aca="false" t="array" ref="CO46:CO46">IF(AND($CC$46:$CC$47=$CC$46,$CD$46:$CD$47&lt;90,$CC$46&lt;&gt;$CC$48),1,0)</f>
        <v>0</v>
      </c>
      <c r="CP46" s="11" t="n">
        <f aca="false" t="array" ref="CP46:CP46">IF(AND($CC$47:$CC$49=$CC$47,$CD$47:$CD$49&lt;90,$CC$46&lt;&gt;$CC$47),1,0)</f>
        <v>0</v>
      </c>
      <c r="CQ46" s="11" t="n">
        <f aca="false" t="array" ref="CQ46:CQ46">IF(AND($CC$46&lt;&gt;$CC$47,$CC$46&lt;&gt;$CC$49),1,0)</f>
        <v>1</v>
      </c>
      <c r="CR46" s="11" t="n">
        <f aca="false" t="array" ref="CR46:CR46">IF(AND($CC$46&lt;&gt;$CC$47,$CC$46&lt;&gt;$CC$49),1,0)</f>
        <v>1</v>
      </c>
      <c r="CS46" s="11" t="n">
        <f aca="false" t="array" ref="CS46:CS46">IF(AND($CC$46&lt;&gt;$CC$47,$CC$46&lt;&gt;$CC$49),1,0)</f>
        <v>1</v>
      </c>
      <c r="CT46" s="11" t="n">
        <f aca="false">IF(AND($CC$46:$CC$49=$CC$46,$CD$46:$CD$49&lt;90,$CE$46:$CE$47=$CE$46,$CE$46&lt;&gt;$CE$48),1,0)</f>
        <v>0</v>
      </c>
      <c r="CU46" s="11" t="n">
        <f aca="false" t="array" ref="CU46:CU46">IF(AND($CC$46:$CC$49=$CC$46,$CD$46:$CD$49&lt;90,$CE$46:$CE$49=$CE$46,$CF$46=$CF$47,$CF$46&lt;&gt;$CF$48),1,0)</f>
        <v>0</v>
      </c>
      <c r="CV46" s="11" t="n">
        <f aca="false" t="array" ref="CV46:CV46">IF(AND($CC$46:$CC$48=$CC$46,$CD$46:$CD$47&lt;90,$CD$48&gt;90),1,0)</f>
        <v>0</v>
      </c>
      <c r="CW46" s="11" t="n">
        <f aca="false" t="array" ref="CW46:CW46">IF(AND($CC$46&lt;&gt;$CC$47,$CC$46&lt;&gt;$CC$48),1,0)</f>
        <v>1</v>
      </c>
      <c r="CX46" s="11" t="n">
        <f aca="false" t="array" ref="CX46:CX46">IF(AND($CC$46&lt;&gt;$CC$47,$CC$46&lt;&gt;$CC$48),1,0)</f>
        <v>1</v>
      </c>
      <c r="CY46" s="11" t="n">
        <f aca="false" t="array" ref="CY46:CY46">IF(AND($CC$46&lt;&gt;$CC$49,$CC$46:$CC$48=$CC$46,$CD$46&gt;90,$CD$47:$CD$48&lt;90),1,0)</f>
        <v>0</v>
      </c>
      <c r="CZ46" s="11" t="n">
        <f aca="false" t="array" ref="CZ46:CZ46">IF(AND($CC$46:$CC$49=$CC$46,$CD$47:$CD$49&lt;90,$CD$46&lt;&gt;$CD$47),1,0)</f>
        <v>0</v>
      </c>
      <c r="DA46" s="11" t="n">
        <f aca="false" t="array" ref="DA46:DA46">IF(AND($CC$46:$CC$49=$CC$46,$CD$46:$CD$48&lt;90,$CD$46&lt;&gt;$CD$49),1,0)</f>
        <v>0</v>
      </c>
      <c r="DB46" s="11" t="n">
        <f aca="false" t="array" ref="DB46:DB46">IF(AND($CC$46:$CC$49=$CC$46,$CD$46:$CD$47&gt;90,$CD$48:$CD$49&lt;90,$CE$46:$CE$49=$CE$46,$CF$46&gt;$CF$47,$CF$46&gt;$CF$48,$CF$46&gt;$CF$49),1,0)</f>
        <v>0</v>
      </c>
      <c r="DC46" s="11" t="n">
        <f aca="false" t="array" ref="DC46:DC46">IF(AND($CC$46:$CC$49=$CC$46,$CD$46&gt;90,$CD$47:$CD$48&lt;90,$CD$49&gt;90,$CE$46:$CE$49=$CE$46,$CF$46&gt;$CF$47,$CF$46&gt;$CF$48,$CF$46&gt;$CF$49),1,0)</f>
        <v>0</v>
      </c>
      <c r="DD46" s="11" t="n">
        <f aca="false" t="array" ref="DD46:DD46">IF(AND($CC$46:$CC$49=$CC$46,$CD$46:$CD$47&lt;90,$CD$48:$CD$49&gt;90,$CE$46:$CE$49=$CE$46,$CF$46=$CF$47,$CF$46&gt;$CF$48,$CF$46&gt;$CF$49),1,0)</f>
        <v>0</v>
      </c>
      <c r="DE46" s="11" t="n">
        <f aca="false" t="array" ref="DE46:DE46">IF(AND($CC$46:$CC$49=$CC$46,$CD$46:$CD$47&gt;90,$CD$48:$CD$49&lt;90,$CE$46:$CE$49=$CE$46,$CF$46&gt;$CF$47,$CF$47:$CF$49=$CF$47),1,0)</f>
        <v>0</v>
      </c>
      <c r="DF46" s="11" t="n">
        <f aca="false" t="array" ref="DF46:DF46">IF(AND($CC$46:$CC$49=$CC$46,$CD$46:$CD$47&lt;90,$CD$48:$CD$49&gt;90,$CE$46:$CE$49=$CE$46,$CF$46:$CF$48=$CF$46,$CF$46&gt;$CF$49),1,0)</f>
        <v>0</v>
      </c>
      <c r="DG46" s="11" t="n">
        <f aca="false" t="array" ref="DG46:DG46">IF(AND($CC$46:$CC$49=$CC$46,$CD$46&gt;90,$CD$49&gt;90,$CD$47:$CD$48&lt;90,$CE$46:$CE$49=$CE$46,$CF$46&gt;$CF$47:$CF$49),1,0)</f>
        <v>0</v>
      </c>
      <c r="EC46" s="10" t="n">
        <v>2</v>
      </c>
      <c r="ED46" s="10" t="n">
        <v>2</v>
      </c>
      <c r="EE46" s="10" t="n">
        <v>2</v>
      </c>
      <c r="EF46" s="10" t="n">
        <v>3</v>
      </c>
      <c r="EG46" s="10" t="n">
        <v>4</v>
      </c>
      <c r="EH46" s="10" t="n">
        <v>3</v>
      </c>
      <c r="EI46" s="10"/>
      <c r="EJ46" s="10"/>
      <c r="EK46" s="10"/>
      <c r="EL46" s="10"/>
      <c r="FI46" s="73"/>
      <c r="FK46" s="73"/>
      <c r="FM46" s="73"/>
    </row>
    <row r="47" s="11" customFormat="true" ht="15" hidden="false" customHeight="false" outlineLevel="0" collapsed="false">
      <c r="A47" s="32" t="str">
        <f aca="true" t="array" ref="A47:A47">IF(ROWS(A$45:A47)&lt;=$C$44,INDEX(INDIRECT(A$44),SMALL(IF(Nivell=$B$44,ROW(Nivell)-ROW(Equipos!$C$2)+1),ROWS(B$44:B46))),"")</f>
        <v>Marruecos</v>
      </c>
      <c r="B47" s="33"/>
      <c r="C47" s="75"/>
      <c r="D47" s="35"/>
      <c r="E47" s="256"/>
      <c r="F47" s="265" t="n">
        <f aca="false">Horarios!C47</f>
        <v>44892.7916666667</v>
      </c>
      <c r="G47" s="266" t="n">
        <f aca="false">Horarios!C47</f>
        <v>44892.7916666667</v>
      </c>
      <c r="H47" s="265" t="s">
        <v>74</v>
      </c>
      <c r="I47" s="267" t="str">
        <f aca="false">A48</f>
        <v>Croacia</v>
      </c>
      <c r="J47" s="268" t="str">
        <f aca="false">VLOOKUP(I47,Equipos!$H$2:$I$33,2,0)</f>
        <v>🇭🇷</v>
      </c>
      <c r="K47" s="269" t="n">
        <v>4</v>
      </c>
      <c r="L47" s="269" t="n">
        <v>1</v>
      </c>
      <c r="M47" s="270" t="str">
        <f aca="false">VLOOKUP(N47,Equipos!$H$2:$I$33,2,0)</f>
        <v>🇨🇦</v>
      </c>
      <c r="N47" s="271" t="str">
        <f aca="false">A46</f>
        <v>Canadá</v>
      </c>
      <c r="O47" s="44" t="n">
        <f aca="false">IF(NOT(OR(ISBLANK(K47),ISBLANK(L47))),1,0)</f>
        <v>1</v>
      </c>
      <c r="P47" s="45"/>
      <c r="Q47" s="280" t="n">
        <v>2</v>
      </c>
      <c r="R47" s="77" t="str">
        <f aca="false">VLOOKUP(Q47,$AG$46:$AI$49,3,0)</f>
        <v>Croacia</v>
      </c>
      <c r="S47" s="78" t="n">
        <f aca="false">VLOOKUP(R47,$AI$46:$AR$49,2,0)</f>
        <v>5</v>
      </c>
      <c r="T47" s="78" t="n">
        <f aca="false">VLOOKUP($R47,$AI$46:$AR$49,3,0)</f>
        <v>3</v>
      </c>
      <c r="U47" s="78" t="n">
        <f aca="false">VLOOKUP($R47,$AI$46:$AR$49,4,0)</f>
        <v>1</v>
      </c>
      <c r="V47" s="78" t="n">
        <f aca="false">VLOOKUP($R47,$AI$46:$AR$49,5,0)</f>
        <v>2</v>
      </c>
      <c r="W47" s="78" t="n">
        <f aca="false">VLOOKUP($R47,$AI$46:$AR$49,6,0)</f>
        <v>0</v>
      </c>
      <c r="X47" s="78" t="n">
        <f aca="false">VLOOKUP($R47,$AI$46:$AR$49,7,0)</f>
        <v>4</v>
      </c>
      <c r="Y47" s="78" t="n">
        <f aca="false">VLOOKUP($R47,$AI$46:$AR$49,8,0)</f>
        <v>1</v>
      </c>
      <c r="Z47" s="281" t="n">
        <f aca="false">VLOOKUP($R47,$AI$46:$AR$49,9,0)</f>
        <v>3</v>
      </c>
      <c r="AA47" s="67" t="n">
        <f aca="false">IF(SUM($AK$46:$AK$49)=12,MIN(ABS(BY46-BY47),ABS(BY47-BY48)),100)</f>
        <v>1133999999.97</v>
      </c>
      <c r="AB47" s="68" t="str">
        <f aca="false">IF(AND(AA47&gt;=0,AA47&lt;90),VLOOKUP(Q47,$BU$46:$BV$49,2,0),"")</f>
        <v/>
      </c>
      <c r="AC47" s="69"/>
      <c r="AD47" s="70"/>
      <c r="AE47" s="71"/>
      <c r="AF47" s="24" t="n">
        <f aca="false">VLOOKUP($R47,$AI$46:$AR$49,10,0)</f>
        <v>5574210499.76</v>
      </c>
      <c r="AG47" s="11" t="n">
        <f aca="false">RANK(AU47,$AU$46:$AU$49)</f>
        <v>4</v>
      </c>
      <c r="AH47" s="11" t="n">
        <f aca="false">RANK(AR47,$AR$46:$AR$49)</f>
        <v>4</v>
      </c>
      <c r="AI47" s="10" t="str">
        <f aca="false">A46</f>
        <v>Canadá</v>
      </c>
      <c r="AJ47" s="11" t="n">
        <f aca="false">AL47*3+AM47*1+AN47*0</f>
        <v>0</v>
      </c>
      <c r="AK47" s="11" t="n">
        <f aca="false">COUNTIFS($I$4:$I$65,AI47,$K$4:$K$65,"&lt;&gt;",$L$4:$L$65,"&lt;&gt;")+COUNTIFS($N$4:$N$65,AI47,$L$4:$L$65,"&lt;&gt;",$K$4:$K$65,"&lt;&gt;")</f>
        <v>3</v>
      </c>
      <c r="AL47" s="11" t="n">
        <f aca="false" t="array" ref="AL47:AL47">SUM(($I$4:$I$65=AI47)*($K$4:$K$65&lt;&gt;"")*($L$4:$L$65&lt;&gt;"")*($K$4:$K$65&gt;$L$4:$L$65),($N$4:$N$65=AI47)*($K$4:$K$65&lt;&gt;"")*($L$4:$L$65&lt;&gt;"")*($K$4:$K$65&lt;$L$4:$L$65))</f>
        <v>0</v>
      </c>
      <c r="AM47" s="11" t="n">
        <f aca="false" t="array" ref="AM47:AM47">SUM(($I$4:$I$65=AI47)*($K$4:$K$65&lt;&gt;"")*($L$4:$L$65&lt;&gt;"")*($K$4:$K$65=$L$4:$L$65),($N$4:$N$65=AI47)*($K$4:$K$65&lt;&gt;"")*($L$4:$L$65&lt;&gt;"")*($K$4:$K$65=$L$4:$L$65))</f>
        <v>0</v>
      </c>
      <c r="AN47" s="11" t="n">
        <f aca="false" t="array" ref="AN47:AN47">SUM(($I$4:$I$65=AI47)*($L$4:$L$65&lt;&gt;"")*($K$4:$K$65&lt;&gt;"")*($K$4:$K$65&lt;$L$4:$L$65),($K$4:$K$65&lt;&gt;"")*($N$4:$N$65=AI47)*($L$4:$L$65&lt;&gt;"")*($K$4:$K$65&gt;$L$4:$L$65))</f>
        <v>3</v>
      </c>
      <c r="AO47" s="11" t="n">
        <f aca="false" t="array" ref="AO47:AO47">SUMIFS($K$4:$K$65,$I$4:$I$65,AI47,$K$4:$K$65,"&lt;&gt;",$L$4:$L$65,"&lt;&gt;")+SUMIFS($L$4:$L$65,$N$4:$N$65,AI47,$K$4:$K$65,"&lt;&gt;",$L$4:$L$65,"&lt;&gt;")</f>
        <v>2</v>
      </c>
      <c r="AP47" s="11" t="n">
        <f aca="false" t="array" ref="AP47:AP47">SUMIFS($K$4:$K$65,$N$4:$N$65,AI47,$K$4:$K$65,"&lt;&gt;",$L$4:$L$65,"&lt;&gt;")+SUMIFS($L$4:$L$65,$I$4:$I$65,AI47,$K$4:$K$65,"&lt;&gt;",$L$4:$L$65,"&lt;&gt;")</f>
        <v>7</v>
      </c>
      <c r="AQ47" s="11" t="n">
        <f aca="false">AO47-AP47</f>
        <v>-5</v>
      </c>
      <c r="AR47" s="11" t="n">
        <f aca="false">IF(AK47=0,-($AW$11*VLOOKUP(AI47,Tabla3[[NombreEquipo]:[Rank]],3,0)),AJ47*$AW$4+AQ47*$AW$5+AO47*$AW$6+BA47-($AW$11*VLOOKUP(AI47,Tabla3[[NombreEquipo]:[Rank]],3,0)/100))</f>
        <v>-22789500.22</v>
      </c>
      <c r="AS47" s="11" t="n">
        <f aca="false">AH47</f>
        <v>4</v>
      </c>
      <c r="AU47" s="11" t="n">
        <f aca="false">IFERROR(AR47-VLOOKUP(AI47,$AB$46:$AC$49,2,0),AR47)</f>
        <v>-22789500.22</v>
      </c>
      <c r="AW47" s="31"/>
      <c r="AY47" s="72" t="str">
        <f aca="false">AI47</f>
        <v>Canadá</v>
      </c>
      <c r="AZ47" s="11" t="n">
        <f aca="false">COUNTIF(AJ46:AJ49,AJ47)</f>
        <v>1</v>
      </c>
      <c r="BA47" s="11" t="n">
        <f aca="false">(BB47*$AW$9)+(BH47*$AW$8)+(BN47*$AW$7)</f>
        <v>210500</v>
      </c>
      <c r="BB47" s="73" t="n">
        <f aca="false">RANK(BC47,BC46:BC49,1)</f>
        <v>1</v>
      </c>
      <c r="BC47" s="73" t="n">
        <f aca="false">SUM(IF(AND(AJ47=AJ48,AQ47=AQ48,AO47=AO48),BF47,0),IF(AND(AJ47=AJ49,AQ47=AQ49,AO47=AO49),BG47,0),IF(AND(AJ47=AJ46,AQ47=AQ46,AO47=AO46),BD47,0))</f>
        <v>0</v>
      </c>
      <c r="BD47" s="73" t="n">
        <f aca="false" t="array" ref="BD47:BD47">SUMIFS($K$44:$K$49,$I$44:$I$49,$AY47,$K$44:$K$49,"&lt;&gt;",$L$44:$L$49,"&lt;&gt;",$N$44:$N$49,BD45)+SUMIFS($L$44:$L$49,$I$44:$I$49,BD45,$K$44:$K$49,"&lt;&gt;",$L$44:$L$49,"&lt;&gt;",$N$44:$N$49,$AY47)</f>
        <v>0</v>
      </c>
      <c r="BE47" s="73" t="n">
        <v>0</v>
      </c>
      <c r="BF47" s="73" t="n">
        <f aca="false" t="array" ref="BF47:BF47">SUMIFS($K$44:$K$49,$I$44:$I$49,$AY47,$K$44:$K$49,"&lt;&gt;",$L$44:$L$49,"&lt;&gt;",$N$44:$N$49,BF45)+SUMIFS($L$44:$L$49,$I$44:$I$49,BF45,$K$44:$K$49,"&lt;&gt;",$L$44:$L$49,"&lt;&gt;",$N$44:$N$49,$AY47)</f>
        <v>1</v>
      </c>
      <c r="BG47" s="73" t="n">
        <f aca="false" t="array" ref="BG47:BG47">SUMIFS($K$44:$K$49,$I$44:$I$49,$AY47,$K$44:$K$49,"&lt;&gt;",$L$44:$L$49,"&lt;&gt;",$N$44:$N$49,BG45)+SUMIFS($L$44:$L$49,$I$44:$I$49,BG45,$K$44:$K$49,"&lt;&gt;",$L$44:$L$49,"&lt;&gt;",$N$44:$N$49,$AY47)</f>
        <v>1</v>
      </c>
      <c r="BH47" s="73" t="n">
        <f aca="false">RANK(BI47,BI46:BI49,1)</f>
        <v>1</v>
      </c>
      <c r="BI47" s="73" t="n">
        <f aca="false">SUM(IF(AND(AJ47=AJ48,AQ47=AQ48,AO47=AO48),BL47,0),IF(AND(AJ47=AJ49,AQ47=AQ49,AO47=AO49),BM47,0),IF(AND(AJ47=AJ46,AQ47=AQ46,AO47=AO46),BJ47,0))</f>
        <v>0</v>
      </c>
      <c r="BJ47" s="73" t="n">
        <f aca="false">BD47-BE46</f>
        <v>-1</v>
      </c>
      <c r="BK47" s="73" t="n">
        <v>0</v>
      </c>
      <c r="BL47" s="73" t="n">
        <f aca="false">BF47-BE48</f>
        <v>-1</v>
      </c>
      <c r="BM47" s="73" t="n">
        <f aca="false">BG47-BE49</f>
        <v>-3</v>
      </c>
      <c r="BN47" s="73" t="n">
        <f aca="false">RANK(BO47,BO46:BO49,1)</f>
        <v>1</v>
      </c>
      <c r="BO47" s="73" t="n">
        <f aca="false">SUM(IF(AND(AJ47=AJ48,AQ47=AQ48,AO47=AO48),BR47,0),IF(AND(AJ47=AJ49,AQ47=AQ49,AO47=AO49),BS47,0),IF(AND(AJ47=AJ46,AQ47=AQ46,AO47=AO46),BP47,0))</f>
        <v>0</v>
      </c>
      <c r="BP47" s="73" t="n">
        <f aca="false" t="array" ref="BP47:BP47">SUM((I$4:I$49=AY47)*(N$4:N$49=BP45)*(K$4:K$49&lt;&gt;"")*(L$4:L$49&lt;&gt;"")*(K$4:K$49&gt;L$4:L$49)*3,(N$4:N$49=AY47)*(I$4:I$49=BP45)*(K$4:K$49&lt;&gt;"")*(L$4:L$49&lt;&gt;"")*(K$4:K$49=L$4:L$49)*1,(N$4:N$49=AY47)*(I$4:I$49=BP45)*(K$4:K$49&lt;&gt;"")*(L$4:L$49&lt;&gt;"")*(K$4:K$49&lt;L$4:L$49)*3,(I$4:I$49=AY47)*(N$4:N$49=BP45)*(K$4:K$49&lt;&gt;"")*(L$4:L$49&lt;&gt;"")*(K$4:K$49=L$4:L$49)*1)</f>
        <v>0</v>
      </c>
      <c r="BQ47" s="73" t="n">
        <v>0</v>
      </c>
      <c r="BR47" s="73" t="n">
        <f aca="false" t="array" ref="BR47:BR47">SUM((I$4:I$49=AY47)*(N$4:N$49=BR45)*(K$4:K$49&lt;&gt;"")*(L$4:L$49&lt;&gt;"")*(K$4:K$49&gt;L$4:L$49)*3,(N$4:N$49=AY47)*(I$4:I$49=BR45)*(K$4:K$49&lt;&gt;"")*(L$4:L$49&lt;&gt;"")*(K$4:K$49=L$4:L$49)*1,(N$4:N$49=AY47)*(I$4:I$49=BR45)*(K$4:K$49&lt;&gt;"")*(L$4:L$49&lt;&gt;"")*(K$4:K$49&lt;L$4:L$49)*3,(I$4:I$49=AY47)*(N$4:N$49=BR45)*(K$4:K$49&lt;&gt;"")*(L$4:L$49&lt;&gt;"")*(K$4:K$49=L$4:L$49)*1)</f>
        <v>0</v>
      </c>
      <c r="BS47" s="73" t="n">
        <f aca="false" t="array" ref="BS47:BS47">SUM((I$4:I$49=AY47)*(N$4:N$49=BS45)*(K$4:K$49&lt;&gt;"")*(L$4:L$49&lt;&gt;"")*(K$4:K$49&gt;L$4:L$49)*3,(N$4:N$49=AY47)*(I$4:I$49=BS45)*(K$4:K$49&lt;&gt;"")*(L$4:L$49&lt;&gt;"")*(K$4:K$49=L$4:L$49)*1,(N$4:N$49=AY47)*(I$4:I$49=BS45)*(K$4:K$49&lt;&gt;"")*(L$4:L$49&lt;&gt;"")*(K$4:K$49&lt;L$4:L$49)*3,(I$4:I$49=AY47)*(N$4:N$49=BS45)*(K$4:K$49&lt;&gt;"")*(L$4:L$49&lt;&gt;"")*(K$4:K$49=L$4:L$49)*1)</f>
        <v>0</v>
      </c>
      <c r="BT47" s="10" t="n">
        <v>2</v>
      </c>
      <c r="BU47" s="10" t="n">
        <f aca="false">RANK(BW47,$BW$46:$BW$49)</f>
        <v>4</v>
      </c>
      <c r="BV47" s="10" t="str">
        <f aca="false">A46</f>
        <v>Canadá</v>
      </c>
      <c r="BW47" s="10" t="n">
        <f aca="false">IF(AK47=0,-($AW$11*VLOOKUP(AI47,Tabla3[[NombreEquipo]:[Rank]],3,0)),AJ47*$AW$4+BA47+AQ47*$AW$8+AO47*$AW$9+AL47*$AW$10-($AW$11*VLOOKUP(AI47,Tabla3[[NombreEquipo]:[Rank]],3,0)/100))</f>
        <v>161499.78</v>
      </c>
      <c r="BX47" s="10" t="str">
        <f aca="false">VLOOKUP(Q47,$AH$46:$AI$49,2,0)</f>
        <v>Croacia</v>
      </c>
      <c r="BY47" s="10" t="n">
        <f aca="false">VLOOKUP($BX47,$AI$46:$AR$49,10,0)</f>
        <v>5574210499.76</v>
      </c>
      <c r="BZ47" s="10"/>
      <c r="CA47" s="10" t="n">
        <v>2</v>
      </c>
      <c r="CB47" s="10" t="str">
        <f aca="false">VLOOKUP(CA47,$AH$46:$AI$49,2,0)</f>
        <v>Croacia</v>
      </c>
      <c r="CC47" s="10" t="n">
        <f aca="false">VLOOKUP(CB47,$AI$46:$AR$49,2,0)</f>
        <v>5</v>
      </c>
      <c r="CD47" s="74" t="n">
        <f aca="false">IF(SUM($AK$46:$AK$49)=12,MIN(ABS(BY46-BY47),ABS(BY47-BY48)),100)</f>
        <v>1133999999.97</v>
      </c>
      <c r="CE47" s="10" t="n">
        <f aca="false">VLOOKUP($CB47,$AI$46:$AR$49,9,0)</f>
        <v>3</v>
      </c>
      <c r="CF47" s="10" t="n">
        <f aca="false">VLOOKUP($CB47,$AI$46:$AR$49,7,0)</f>
        <v>4</v>
      </c>
      <c r="CG47" s="10"/>
      <c r="CH47" s="10" t="n">
        <f aca="false" t="array" ref="CH47:CH47">IF($CI$46=$CL$45,$EC$45:$EC$48,IF($CI$46=$CM$45,$ED$45:$ED$47,IF(OR($CI$46=$CN$45,$CI$46=$CO$45),$EE$45:$EE$46,IF($CI$46=$CP$45,$EF$45:$EF$47,(IF($CI$46=$CQ$45,$EH$45:$EH$46,$EJ$45))))))</f>
        <v>2</v>
      </c>
      <c r="CK47" s="11" t="n">
        <v>2</v>
      </c>
      <c r="CL47" s="11" t="n">
        <f aca="false" t="array" ref="CL47:CL47">IF(AND($CC$46:$CC$49=$CC$47,$CD$46:$CD$49&lt;90,$AQ$46:$AQ$49=$AQ$47,$CF$46:$CF$49=$CF$47),1,0)</f>
        <v>0</v>
      </c>
      <c r="CM47" s="11" t="n">
        <f aca="false" t="array" ref="CM47:CM47">IF(AND($CC$46:$CC$48=$CC$47,$CD$46:$CD$48&lt;90,$CC$47&lt;&gt;$CC$49),1,0)</f>
        <v>0</v>
      </c>
      <c r="CN47" s="11" t="n">
        <f aca="false" t="array" ref="CN47:CN47">IF(AND($CC$46:$CC$47=$CC$46,$CD$46:$CD$47&lt;90,$CC$46&lt;&gt;$CC$48),1,0)</f>
        <v>0</v>
      </c>
      <c r="CO47" s="11" t="n">
        <f aca="false" t="array" ref="CO47:CO47">IF(AND($CC$46:$CC$47=$CC$46,$CD$46:$CD$47&lt;90,$CC$46&lt;&gt;$CC$48),1,0)</f>
        <v>0</v>
      </c>
      <c r="CP47" s="11" t="n">
        <f aca="false" t="array" ref="CP47:CP47">IF(AND($CC$47:$CC$49=$CC$47,$CD$47:$CD$49&lt;90,$CC$46&lt;&gt;$CC$47),1,0)</f>
        <v>0</v>
      </c>
      <c r="CQ47" s="11" t="n">
        <f aca="false" t="array" ref="CQ47:CQ47">IF(AND($CC$47:$CC$48=$CC$47,$CD$47:$CD$48&lt;90,$CC$47&lt;&gt;$CC$46,$CC$47&lt;&gt;$CC$49),1,0)</f>
        <v>0</v>
      </c>
      <c r="CR47" s="11" t="n">
        <f aca="false" t="array" ref="CR47:CR47">IF(AND($CC$47&lt;&gt;$CC$46,$CC$47&lt;&gt;$CC$48),1,0)</f>
        <v>1</v>
      </c>
      <c r="CS47" s="11" t="n">
        <f aca="false" t="array" ref="CS47:CS47">IF(AND($CC$47&lt;&gt;$CC$46,$CC$47&lt;&gt;$CC$48),1,0)</f>
        <v>1</v>
      </c>
      <c r="CT47" s="11" t="n">
        <f aca="false" t="array" ref="CT47:CT47">IF(AND($CC$46:$CC$49=$CC$46,$CD$46:$CD$49&lt;90,$CE$46:$CE$47=$CE$46,$CE$47&lt;&gt;$CE$48),1,0)</f>
        <v>0</v>
      </c>
      <c r="CU47" s="11" t="n">
        <f aca="false" t="array" ref="CU47:CU47">IF(AND($CC$46:$CC$49=$CC$46,$CD$46:$CD$49&lt;90,$CE$46:$CE$49=$CE$46,$CF$46=$CF$47,$CF$47&lt;&gt;$CF$48),1,0)</f>
        <v>0</v>
      </c>
      <c r="CV47" s="11" t="n">
        <f aca="false" t="array" ref="CV47:CV47">IF(AND($CC$46:$CC$48=$CC$47,$CD$46:$CD$47&lt;90,$CD$48&gt;90),1,0)</f>
        <v>0</v>
      </c>
      <c r="CW47" s="11" t="n">
        <f aca="false" t="array" ref="CW47:CW47">IF(AND($CC$47&lt;&gt;$CC$46,$CC$47:$CC$49=$CC$47,$CD$47&gt;90,$CD$48:$CD$49&lt;90),1,0)</f>
        <v>0</v>
      </c>
      <c r="CX47" s="11" t="n">
        <f aca="false" t="array" ref="CX47:CX47">IF(AND($CC$47&lt;&gt;$CC$46,$CC$47:$CC$49=$CC$47,$CD$49&gt;90,$CD$47:$CD$48&lt;90),1,0)</f>
        <v>0</v>
      </c>
      <c r="CY47" s="11" t="n">
        <f aca="false" t="array" ref="CY47:CY47">IF(AND($CC$47&lt;&gt;$CC$49,$CC$46:$CC$48=$CC$47,$CD$46&gt;90,$CD$47:$CD$48&lt;90),1,0)</f>
        <v>0</v>
      </c>
      <c r="CZ47" s="11" t="n">
        <f aca="false" t="array" ref="CZ47:CZ47">IF(AND($CC$46:$CC$49=$CC$47,$CD$47:$CD$49&lt;90,$CD$46&lt;&gt;$CD$47),1,0)</f>
        <v>0</v>
      </c>
      <c r="DA47" s="11" t="n">
        <f aca="false" t="array" ref="DA47:DA47">IF(AND($CC$46:$CC$49=$CC$47,$CD$46:$CD$48&lt;90,$CD$47&lt;&gt;$CD$49),1,0)</f>
        <v>0</v>
      </c>
      <c r="DB47" s="11" t="n">
        <f aca="false" t="array" ref="DB47:DB47">IF(AND($CC$46:$CC$49=$CC$47,$CD$46:$CD$47&gt;90,$CD$48:$CD$49&lt;90,$CE$46:$CE$49=$CE$47,$CF$46&gt;$CF$47,$CF$47&gt;$CF$48,$CF$47&gt;$CF$49),1,0)</f>
        <v>0</v>
      </c>
      <c r="DC47" s="11" t="n">
        <f aca="false" t="array" ref="DC47:DC47">IF(AND($CC$46:$CC$49=$CC$47,$CD$46&gt;90,$CD$47:$CD$48&lt;90,$CD$49&gt;90,$CE$46:$CE$49=$CE$47,$CF$46&gt;$CF$47,$CF$47=$CF$48,$CF$47&gt;$CF$49),1,0)</f>
        <v>0</v>
      </c>
      <c r="DD47" s="11" t="n">
        <f aca="false" t="array" ref="DD47:DD47">IF(AND($CC$46:$CC$49=$CC$47,$CD$46:$CD$47&lt;90,$CD$48:$CD$49&gt;90,$CE$46:$CE$49=$CE$47,$CF$46=$CF$47,$CF$47&gt;$CF$48,$CF$47&gt;$CF$49),1,0)</f>
        <v>0</v>
      </c>
      <c r="DE47" s="11" t="n">
        <f aca="false" t="array" ref="DE47:DE47">IF(AND($CC$46:$CC$49=$CC$47,$CD$46:$CD$47&gt;90,$CD$48:$CD$49&lt;90,$CE$46:$CE$49=$CE$47,$CF$46&gt;$CF$47,$CF$47:$CF$49=$CF$47),1,0)</f>
        <v>0</v>
      </c>
      <c r="DF47" s="11" t="n">
        <f aca="false" t="array" ref="DF47:DF47">IF(AND($CC$46:$CC$49=$CC$47,$CD$46:$CD$47&lt;90,$CD$48:$CD$49&gt;90,$CE$46:$CE$49=$CE$47,$CF$46:$CF$48=$CF$47,$CF$47&gt;$CF$49),1,0)</f>
        <v>0</v>
      </c>
      <c r="DG47" s="11" t="n">
        <f aca="false" t="array" ref="DG47:DG47">IF(AND($CC$46:$CC$49=$CC$47,$CD$46&gt;90,$CD$49&gt;90,$CD$47:$CD$48&lt;90,$CE$46:$CE$49=$CE$47,$CF$46&gt;$CF$47:$CF$49,$CF$47:$CF$49=$CF$47),1,0)</f>
        <v>0</v>
      </c>
      <c r="EC47" s="10" t="n">
        <v>3</v>
      </c>
      <c r="ED47" s="10" t="n">
        <v>3</v>
      </c>
      <c r="EE47" s="10"/>
      <c r="EF47" s="10" t="n">
        <v>4</v>
      </c>
      <c r="EG47" s="10"/>
      <c r="EH47" s="10"/>
      <c r="EI47" s="10"/>
      <c r="EJ47" s="10"/>
      <c r="EK47" s="10"/>
      <c r="EL47" s="10"/>
      <c r="FI47" s="73"/>
      <c r="FK47" s="73"/>
      <c r="FM47" s="73"/>
    </row>
    <row r="48" s="11" customFormat="true" ht="15" hidden="false" customHeight="false" outlineLevel="0" collapsed="false">
      <c r="A48" s="32" t="str">
        <f aca="true" t="array" ref="A48:A48">IF(ROWS(A$45:A48)&lt;=$C$44,INDEX(INDIRECT(A$44),SMALL(IF(Nivell=$B$44,ROW(Nivell)-ROW(Equipos!$C$2)+1),ROWS(B$44:B47))),"")</f>
        <v>Croacia</v>
      </c>
      <c r="B48" s="33"/>
      <c r="C48" s="75"/>
      <c r="D48" s="35"/>
      <c r="E48" s="256"/>
      <c r="F48" s="265" t="n">
        <f aca="false">Horarios!C48</f>
        <v>44896.75</v>
      </c>
      <c r="G48" s="266" t="n">
        <f aca="false">Horarios!C48</f>
        <v>44896.75</v>
      </c>
      <c r="H48" s="265" t="s">
        <v>77</v>
      </c>
      <c r="I48" s="267" t="str">
        <f aca="false">A48</f>
        <v>Croacia</v>
      </c>
      <c r="J48" s="268" t="str">
        <f aca="false">VLOOKUP(I48,Equipos!$H$2:$I$33,2,0)</f>
        <v>🇭🇷</v>
      </c>
      <c r="K48" s="269" t="n">
        <v>0</v>
      </c>
      <c r="L48" s="269" t="n">
        <v>0</v>
      </c>
      <c r="M48" s="270" t="str">
        <f aca="false">VLOOKUP(N48,Equipos!$H$2:$I$33,2,0)</f>
        <v>🇧🇪</v>
      </c>
      <c r="N48" s="271" t="str">
        <f aca="false">A45</f>
        <v>Bélgica</v>
      </c>
      <c r="O48" s="44" t="n">
        <f aca="false">IF(NOT(OR(ISBLANK(K48),ISBLANK(L48))),1,0)</f>
        <v>1</v>
      </c>
      <c r="P48" s="45"/>
      <c r="Q48" s="280" t="n">
        <v>3</v>
      </c>
      <c r="R48" s="77" t="str">
        <f aca="false">VLOOKUP(Q48,$AG$46:$AI$49,3,0)</f>
        <v>Bélgica</v>
      </c>
      <c r="S48" s="78" t="n">
        <f aca="false">VLOOKUP(R48,$AI$46:$AR$49,2,0)</f>
        <v>4</v>
      </c>
      <c r="T48" s="78" t="n">
        <f aca="false">VLOOKUP($R48,$AI$46:$AR$49,3,0)</f>
        <v>3</v>
      </c>
      <c r="U48" s="78" t="n">
        <f aca="false">VLOOKUP($R48,$AI$46:$AR$49,4,0)</f>
        <v>1</v>
      </c>
      <c r="V48" s="78" t="n">
        <f aca="false">VLOOKUP($R48,$AI$46:$AR$49,5,0)</f>
        <v>1</v>
      </c>
      <c r="W48" s="78" t="n">
        <f aca="false">VLOOKUP($R48,$AI$46:$AR$49,6,0)</f>
        <v>1</v>
      </c>
      <c r="X48" s="78" t="n">
        <f aca="false">VLOOKUP($R48,$AI$46:$AR$49,7,0)</f>
        <v>1</v>
      </c>
      <c r="Y48" s="78" t="n">
        <f aca="false">VLOOKUP($R48,$AI$46:$AR$49,8,0)</f>
        <v>2</v>
      </c>
      <c r="Z48" s="281" t="n">
        <f aca="false">VLOOKUP($R48,$AI$46:$AR$49,9,0)</f>
        <v>-1</v>
      </c>
      <c r="AA48" s="67" t="n">
        <f aca="false">IF(SUM($AK$46:$AK$49)=12,MIN(ABS(BY47-BY48),ABS(BY48-BY49)),100)</f>
        <v>1133999999.97</v>
      </c>
      <c r="AB48" s="68" t="str">
        <f aca="false">IF(AND(AA48&gt;=0,AA48&lt;90),VLOOKUP(Q48,$BU$46:$BV$49,2,0),"")</f>
        <v/>
      </c>
      <c r="AC48" s="69"/>
      <c r="AD48" s="70"/>
      <c r="AE48" s="71"/>
      <c r="AF48" s="24" t="n">
        <f aca="false">VLOOKUP($R48,$AI$46:$AR$49,10,0)</f>
        <v>4440210499.79</v>
      </c>
      <c r="AG48" s="11" t="n">
        <f aca="false">RANK(AU48,$AU$46:$AU$49)</f>
        <v>1</v>
      </c>
      <c r="AH48" s="11" t="n">
        <f aca="false">RANK(AR48,$AR$46:$AR$49)</f>
        <v>1</v>
      </c>
      <c r="AI48" s="10" t="str">
        <f aca="false">A47</f>
        <v>Marruecos</v>
      </c>
      <c r="AJ48" s="11" t="n">
        <f aca="false">AL48*3+AM48*1+AN48*0</f>
        <v>7</v>
      </c>
      <c r="AK48" s="11" t="n">
        <f aca="false">COUNTIFS($I$4:$I$65,AI48,$K$4:$K$65,"&lt;&gt;",$L$4:$L$65,"&lt;&gt;")+COUNTIFS($N$4:$N$65,AI48,$L$4:$L$65,"&lt;&gt;",$K$4:$K$65,"&lt;&gt;")</f>
        <v>3</v>
      </c>
      <c r="AL48" s="11" t="n">
        <f aca="false" t="array" ref="AL48:AL48">SUM(($I$4:$I$65=AI48)*($K$4:$K$65&lt;&gt;"")*($L$4:$L$65&lt;&gt;"")*($K$4:$K$65&gt;$L$4:$L$65),($N$4:$N$65=AI48)*($K$4:$K$65&lt;&gt;"")*($L$4:$L$65&lt;&gt;"")*($K$4:$K$65&lt;$L$4:$L$65))</f>
        <v>2</v>
      </c>
      <c r="AM48" s="11" t="n">
        <f aca="false" t="array" ref="AM48:AM48">SUM(($I$4:$I$65=AI48)*($K$4:$K$65&lt;&gt;"")*($L$4:$L$65&lt;&gt;"")*($K$4:$K$65=$L$4:$L$65),($N$4:$N$65=AI48)*($K$4:$K$65&lt;&gt;"")*($L$4:$L$65&lt;&gt;"")*($K$4:$K$65=$L$4:$L$65))</f>
        <v>1</v>
      </c>
      <c r="AN48" s="11" t="n">
        <f aca="false" t="array" ref="AN48:AN48">SUM(($I$4:$I$65=AI48)*($L$4:$L$65&lt;&gt;"")*($K$4:$K$65&lt;&gt;"")*($K$4:$K$65&lt;$L$4:$L$65),($K$4:$K$65&lt;&gt;"")*($N$4:$N$65=AI48)*($L$4:$L$65&lt;&gt;"")*($K$4:$K$65&gt;$L$4:$L$65))</f>
        <v>0</v>
      </c>
      <c r="AO48" s="11" t="n">
        <f aca="false" t="array" ref="AO48:AO48">SUMIFS($K$4:$K$65,$I$4:$I$65,AI48,$K$4:$K$65,"&lt;&gt;",$L$4:$L$65,"&lt;&gt;")+SUMIFS($L$4:$L$65,$N$4:$N$65,AI48,$K$4:$K$65,"&lt;&gt;",$L$4:$L$65,"&lt;&gt;")</f>
        <v>4</v>
      </c>
      <c r="AP48" s="11" t="n">
        <f aca="false" t="array" ref="AP48:AP48">SUMIFS($K$4:$K$65,$N$4:$N$65,AI48,$K$4:$K$65,"&lt;&gt;",$L$4:$L$65,"&lt;&gt;")+SUMIFS($L$4:$L$65,$I$4:$I$65,AI48,$K$4:$K$65,"&lt;&gt;",$L$4:$L$65,"&lt;&gt;")</f>
        <v>1</v>
      </c>
      <c r="AQ48" s="11" t="n">
        <f aca="false">AO48-AP48</f>
        <v>3</v>
      </c>
      <c r="AR48" s="11" t="n">
        <f aca="false">IF(AK48=0,-($AW$11*VLOOKUP(AI48,Tabla3[[NombreEquipo]:[Rank]],3,0)),AJ48*$AW$4+AQ48*$AW$5+AO48*$AW$6+BA48-($AW$11*VLOOKUP(AI48,Tabla3[[NombreEquipo]:[Rank]],3,0)/100))</f>
        <v>7796210499.77</v>
      </c>
      <c r="AS48" s="11" t="n">
        <f aca="false">AH48</f>
        <v>1</v>
      </c>
      <c r="AU48" s="11" t="n">
        <f aca="false">IFERROR(AR48-VLOOKUP(AI48,$AB$46:$AC$49,2,0),AR48)</f>
        <v>7796210499.77</v>
      </c>
      <c r="AW48" s="31"/>
      <c r="AY48" s="72" t="str">
        <f aca="false">AI48</f>
        <v>Marruecos</v>
      </c>
      <c r="AZ48" s="11" t="n">
        <f aca="false">COUNTIF(AJ46:AJ49,AJ48)</f>
        <v>1</v>
      </c>
      <c r="BA48" s="11" t="n">
        <f aca="false">(BB48*$AW$9)+(BH48*$AW$8)+(BN48*$AW$7)</f>
        <v>210500</v>
      </c>
      <c r="BB48" s="73" t="n">
        <f aca="false">RANK(BC48,BC46:BC49,1)</f>
        <v>1</v>
      </c>
      <c r="BC48" s="73" t="n">
        <f aca="false">SUM(IF(AND(AJ48=AJ49,AQ48=AQ49,AO48=AO49),BG48,0),IF(AND(AJ48=AJ46,AQ48=AQ46,AO48=AO46),BD48,0),IF(AND(AJ48=AJ47,AQ48=AQ47,AO48=AO47),BE48,0))</f>
        <v>0</v>
      </c>
      <c r="BD48" s="73" t="n">
        <f aca="false" t="array" ref="BD48:BD48">SUMIFS($K$44:$K$49,$I$44:$I$49,$AY48,$K$44:$K$49,"&lt;&gt;",$L$44:$L$49,"&lt;&gt;",$N$44:$N$49,BD45)+SUMIFS($L$44:$L$49,$I$44:$I$49,BD45,$K$44:$K$49,"&lt;&gt;",$L$44:$L$49,"&lt;&gt;",$N$44:$N$49,$AY48)</f>
        <v>2</v>
      </c>
      <c r="BE48" s="73" t="n">
        <f aca="false" t="array" ref="BE48:BE48">SUMIFS($K$44:$K$49,$I$44:$I$49,$AY48,$K$44:$K$49,"&lt;&gt;",$L$44:$L$49,"&lt;&gt;",$N$44:$N$49,BE45)+SUMIFS($L$44:$L$49,$I$44:$I$49,BE45,$K$44:$K$49,"&lt;&gt;",$L$44:$L$49,"&lt;&gt;",$N$44:$N$49,$AY48)</f>
        <v>2</v>
      </c>
      <c r="BF48" s="73" t="n">
        <v>0</v>
      </c>
      <c r="BG48" s="73" t="n">
        <f aca="false" t="array" ref="BG48:BG48">SUMIFS($K$44:$K$49,$I$44:$I$49,$AY48,$K$44:$K$49,"&lt;&gt;",$L$44:$L$49,"&lt;&gt;",$N$44:$N$49,BG45)+SUMIFS($L$44:$L$49,$I$44:$I$49,BG45,$K$44:$K$49,"&lt;&gt;",$L$44:$L$49,"&lt;&gt;",$N$44:$N$49,$AY48)</f>
        <v>0</v>
      </c>
      <c r="BH48" s="73" t="n">
        <f aca="false">RANK(BI48,BI46:BI49,1)</f>
        <v>1</v>
      </c>
      <c r="BI48" s="73" t="n">
        <f aca="false">SUM(IF(AND(AJ48=AJ49,AQ48=AQ49,AO48=AO49),BM48,0),IF(AND(AJ48=AJ46,AQ48=AQ46,AO48=AO46),BJ48,0),IF(AND(AJ48=AJ47,AQ48=AQ47,AO48=AO47),BK48,0))</f>
        <v>0</v>
      </c>
      <c r="BJ48" s="73" t="n">
        <f aca="false">BD48-BF46</f>
        <v>2</v>
      </c>
      <c r="BK48" s="73" t="n">
        <f aca="false">BE48-BF47</f>
        <v>1</v>
      </c>
      <c r="BL48" s="73" t="n">
        <v>0</v>
      </c>
      <c r="BM48" s="73" t="n">
        <f aca="false">BG48-BF49</f>
        <v>0</v>
      </c>
      <c r="BN48" s="73" t="n">
        <f aca="false">RANK(BO48,BO46:BO49,1)</f>
        <v>1</v>
      </c>
      <c r="BO48" s="73" t="n">
        <f aca="false">SUM(IF(AND(AJ48=AJ49,AQ48=AQ49,AO48=AO49),BS48,0),IF(AND(AJ48=AJ46,AQ48=AQ46,AO48=AO46),BP48,0),IF(AND(AJ48=AJ47,AQ48=AQ47,AO48=AO47),BQ48,0))</f>
        <v>0</v>
      </c>
      <c r="BP48" s="73" t="n">
        <f aca="false" t="array" ref="BP48:BP48">SUM((I$4:I$49=AY48)*(N$4:N$49=BP45)*(K$4:K$49&lt;&gt;"")*(L$4:L$49&lt;&gt;"")*(K$4:K$49&gt;L$4:L$49)*3,(N$4:N$49=AY48)*(I$4:I$49=BP45)*(K$4:K$49&lt;&gt;"")*(L$4:L$49&lt;&gt;"")*(K$4:K$49=L$4:L$49)*1,(N$4:N$49=AY48)*(I$4:I$49=BP45)*(K$4:K$49&lt;&gt;"")*(L$4:L$49&lt;&gt;"")*(K$4:K$49&lt;L$4:L$49)*3,(I$4:I$49=AY48)*(N$4:N$49=BP45)*(K$4:K$49&lt;&gt;"")*(L$4:L$49&lt;&gt;"")*(K$4:K$49=L$4:L$49)*1)</f>
        <v>3</v>
      </c>
      <c r="BQ48" s="73" t="n">
        <f aca="false" t="array" ref="BQ48:BQ48">SUM((I$4:I$49=AY48)*(N$4:N$49=BQ45)*(K$4:K$49&lt;&gt;"")*(L$4:L$49&lt;&gt;"")*(K$4:K$49&gt;L$4:L$49)*3,(N$4:N$49=AY48)*(I$4:I$49=BQ45)*(K$4:K$49&lt;&gt;"")*(L$4:L$49&lt;&gt;"")*(K$4:K$49=L$4:L$49)*1,(N$4:N$49=AY48)*(I$4:I$49=BQ45)*(K$4:K$49&lt;&gt;"")*(L$4:L$49&lt;&gt;"")*(K$4:K$49&lt;L$4:L$49)*3,(I$4:I$49=AY48)*(N$4:N$49=BQ45)*(K$4:K$49&lt;&gt;"")*(L$4:L$49&lt;&gt;"")*(K$4:K$49=L$4:L$49)*1)</f>
        <v>3</v>
      </c>
      <c r="BR48" s="73" t="n">
        <v>0</v>
      </c>
      <c r="BS48" s="73" t="n">
        <f aca="false" t="array" ref="BS48:BS48">SUM((I$4:I$49=AY48)*(N$4:N$49=BS45)*(K$4:K$49&lt;&gt;"")*(L$4:L$49&lt;&gt;"")*(K$4:K$49&gt;L$4:L$49)*3,(N$4:N$49=AY48)*(I$4:I$49=BS45)*(K$4:K$49&lt;&gt;"")*(L$4:L$49&lt;&gt;"")*(K$4:K$49=L$4:L$49)*1,(N$4:N$49=AY48)*(I$4:I$49=BS45)*(K$4:K$49&lt;&gt;"")*(L$4:L$49&lt;&gt;"")*(K$4:K$49&lt;L$4:L$49)*3,(I$4:I$49=AY48)*(N$4:N$49=BS45)*(K$4:K$49&lt;&gt;"")*(L$4:L$49&lt;&gt;"")*(K$4:K$49=L$4:L$49)*1)</f>
        <v>1</v>
      </c>
      <c r="BT48" s="10" t="n">
        <v>3</v>
      </c>
      <c r="BU48" s="10" t="n">
        <f aca="false">RANK(BW48,$BW$46:$BW$49)</f>
        <v>1</v>
      </c>
      <c r="BV48" s="10" t="str">
        <f aca="false">A47</f>
        <v>Marruecos</v>
      </c>
      <c r="BW48" s="10" t="n">
        <f aca="false">IF(AK48=0,-($AW$11*VLOOKUP(AI48,Tabla3[[NombreEquipo]:[Rank]],3,0)),AJ48*$AW$4+BA48+AQ48*$AW$8+AO48*$AW$9+AL48*$AW$10-($AW$11*VLOOKUP(AI48,Tabla3[[NombreEquipo]:[Rank]],3,0)/100))</f>
        <v>7777242699.77</v>
      </c>
      <c r="BX48" s="10" t="str">
        <f aca="false">VLOOKUP(Q48,$AH$46:$AI$49,2,0)</f>
        <v>Bélgica</v>
      </c>
      <c r="BY48" s="10" t="n">
        <f aca="false">VLOOKUP($BX48,$AI$46:$AR$49,10,0)</f>
        <v>4440210499.79</v>
      </c>
      <c r="BZ48" s="10"/>
      <c r="CA48" s="10" t="n">
        <v>3</v>
      </c>
      <c r="CB48" s="10" t="str">
        <f aca="false">VLOOKUP(CA48,$AH$46:$AI$49,2,0)</f>
        <v>Bélgica</v>
      </c>
      <c r="CC48" s="10" t="n">
        <f aca="false">VLOOKUP(CB48,$AI$46:$AR$49,2,0)</f>
        <v>4</v>
      </c>
      <c r="CD48" s="74" t="n">
        <f aca="false">IF(SUM($AK$46:$AK$49)=12,MIN(ABS(BY47-BY48),ABS(BY48-BY49)),100)</f>
        <v>1133999999.97</v>
      </c>
      <c r="CE48" s="10" t="n">
        <f aca="false">VLOOKUP($CB48,$AI$46:$AR$49,9,0)</f>
        <v>-1</v>
      </c>
      <c r="CF48" s="10" t="n">
        <f aca="false">VLOOKUP($CB48,$AI$46:$AR$49,7,0)</f>
        <v>1</v>
      </c>
      <c r="CG48" s="10"/>
      <c r="CH48" s="10" t="n">
        <f aca="false" t="array" ref="CH48:CH48">IF($CI$46=$CL$45,$EC$45:$EC$48,IF($CI$46=$CM$45,$ED$45:$ED$47,IF(OR($CI$46=$CN$45,$CI$46=$CR$45),$EG$45:$EG$46,IF($CI$46=$CP$45,$EF$45:$EF$47,(IF($CI$46=$CQ$45,$EH$45:$EH$46,$EK$45))))))</f>
        <v>3</v>
      </c>
      <c r="CK48" s="11" t="n">
        <v>3</v>
      </c>
      <c r="CL48" s="11" t="n">
        <f aca="false" t="array" ref="CL48:CL48">IF(AND($CC$46:$CC$49=$CC$48,$CD$46:$CD$49&lt;90,$AQ$46:$AQ$49=$AQ$48,$CF$46:$CF$49=$CF$48),1,0)</f>
        <v>0</v>
      </c>
      <c r="CM48" s="11" t="n">
        <f aca="false" t="array" ref="CM48:CM48">IF(AND($CC$46:$CC$48=$CC$48,$CD$46:$CD$48&lt;90,$CC$48&lt;&gt;$CC$49),1,0)</f>
        <v>0</v>
      </c>
      <c r="CN48" s="11" t="n">
        <f aca="false" t="array" ref="CN48:CN48">IF(AND($CC$48:$CC$49=$CC$48,$CD$48:$CD$49&lt;90,$CC$48&lt;&gt;$CC$47),1,0)</f>
        <v>0</v>
      </c>
      <c r="CO48" s="11" t="n">
        <f aca="false" t="array" ref="CO48:CO48">IF(OR(AND($CC$48&lt;&gt;$CC$47,$CC$48&lt;&gt;$CC$49),AND($CC$48&lt;&gt;$CC$47,$CC$48=$CC$49,$CD$48&gt;90,$CD$49&gt;90)),1,0)</f>
        <v>1</v>
      </c>
      <c r="CP48" s="11" t="n">
        <f aca="false" t="array" ref="CP48:CP48">IF(AND($CC$47:$CC$49=$CC$47,$CD$47:$CD$49&lt;90,$CC$46&lt;&gt;$CC$48),1,0)</f>
        <v>0</v>
      </c>
      <c r="CQ48" s="11" t="n">
        <f aca="false" t="array" ref="CQ48:CQ48">IF(AND($CC$47:$CC$48=$CC$48,$CD$47:$CD$48&lt;90,$CC$48&lt;&gt;$CC$46,$CC$48&lt;&gt;$CC$49),1,0)</f>
        <v>0</v>
      </c>
      <c r="CR48" s="11" t="n">
        <f aca="false" t="array" ref="CR48:CR48">IF(AND($CC$48:$CC$49=$CC$48,$CD$48:$CD$49&lt;90,$CC$48&lt;&gt;$CC$47),1,0)</f>
        <v>0</v>
      </c>
      <c r="CS48" s="11" t="n">
        <f aca="false" t="array" ref="CS48:CS48">IF(AND($CC$48&lt;&gt;$CC$47,$CC$48&lt;&gt;$CC$49),1,0)</f>
        <v>1</v>
      </c>
      <c r="CT48" s="11" t="n">
        <f aca="false" t="array" ref="CT48:CT48">IF(AND($CC$46:$CC$49=$CC$46,$CD$46:$CD$49&lt;90,$CE$48:$CE$49=$CE$48,$CE$47&lt;&gt;$CE$48),1,0)</f>
        <v>0</v>
      </c>
      <c r="CU48" s="11" t="n">
        <f aca="false" t="array" ref="CU48:CU48">IF(AND($CC$46:$CC$49=$CC$46,$CD$46:$CD$49&lt;90,$CE$46:$CE$49=$CE$46,$CF$48=$CF$49,$CF$47&lt;&gt;$CF$48),1,0)</f>
        <v>0</v>
      </c>
      <c r="CV48" s="11" t="n">
        <f aca="false" t="array" ref="CV48:CV48">IF(AND($CC$46:$CC$48=$CC$48,$CD$46:$CD$47&lt;90,$CD$48&gt;90),1,0)</f>
        <v>0</v>
      </c>
      <c r="CW48" s="11" t="n">
        <f aca="false" t="array" ref="CW48:CW48">IF(AND($CC$47&lt;&gt;$CC$46,$CC$47:$CC$49=$CC$48,$CD$47&gt;90,$CD$48:$CD$49&lt;90),1,0)</f>
        <v>0</v>
      </c>
      <c r="CX48" s="11" t="n">
        <f aca="false" t="array" ref="CX48:CX48">IF(AND($CC$47&lt;&gt;$CC$46,$CC$47:$CC$49=$CC$47,$CD$49&gt;90,$CD$47:$CD$48&lt;90),1,0)</f>
        <v>0</v>
      </c>
      <c r="CY48" s="11" t="n">
        <f aca="false" t="array" ref="CY48:CY48">IF(AND($CC$48&lt;&gt;$CC$49,$CC$46:$CC$48=$CC$48,$CD$46&gt;90,$CD$47:$CD$48&lt;90),1,0)</f>
        <v>0</v>
      </c>
      <c r="CZ48" s="11" t="n">
        <f aca="false" t="array" ref="CZ48:CZ48">IF(AND($CC$46:$CC$49=$CC$47,$CD$47:$CD$49&lt;90,$CD$46&lt;&gt;$CD$48),1,0)</f>
        <v>0</v>
      </c>
      <c r="DA48" s="11" t="n">
        <f aca="false" t="array" ref="DA48:DA48">IF(AND($CC$46:$CC$49=$CC$48,$CD$46:$CD$48&lt;90,$CD$48&lt;&gt;$CD$49),1,0)</f>
        <v>0</v>
      </c>
      <c r="DB48" s="11" t="n">
        <f aca="false" t="array" ref="DB48:DB48">IF(AND($CC$46:$CC$49=$CC$48,$CD$46:$CD$47&gt;90,$CD$48:$CD$49&lt;90,$CE$46:$CE$49=$CE$48,$CF$46&gt;$CF$47,$CF$47&gt;$CF$48,$CF$48=$CF$49),1,0)</f>
        <v>0</v>
      </c>
      <c r="DC48" s="11" t="n">
        <f aca="false" t="array" ref="DC48:DC48">IF(AND($CC$46:$CC$49=$CC$48,$CD$46&gt;90,$CD$47:$CD$48&lt;90,$CD$49&gt;90,$CE$46:$CE$49=$CE$48,$CF$46&gt;$CF$47,$CF$47=$CF$48,$CF$48&gt;$CF$49),1,0)</f>
        <v>0</v>
      </c>
      <c r="DD48" s="11" t="n">
        <f aca="false" t="array" ref="DD48:DD48">IF(AND($CC$46:$CC$49=$CC$48,$CD$46:$CD$47&lt;90,$CD$48:$CD$49&gt;90,$CE$46:$CE$49=$CE$48,$CF$46=$CF$47,$CF$47&gt;$CF$48,$CF$48&gt;$CF$49),1,0)</f>
        <v>0</v>
      </c>
      <c r="DE48" s="11" t="n">
        <f aca="false" t="array" ref="DE48:DE48">IF(AND($CC$46:$CC$49=$CC$48,$CD$46:$CD$47&gt;90,$CD$48:$CD$49&lt;90,$CE$46:$CE$49=$CE$47,$CF$46&gt;$CF$48,$CF$47:$CF$49=$CF$48),1,0)</f>
        <v>0</v>
      </c>
      <c r="DF48" s="11" t="n">
        <f aca="false" t="array" ref="DF48:DF48">IF(AND($CC$46:$CC$49=$CC$48,$CD$46:$CD$47&lt;90,$CD$48:$CD$49&gt;90,$CE$46:$CE$49=$CE$48,$CF$46:$CF$48=$CF$48,$CF$48&gt;$CF$49),1,0)</f>
        <v>0</v>
      </c>
      <c r="DG48" s="11" t="n">
        <f aca="false" t="array" ref="DG48:DG48">IF(AND($CC$46:$CC$49=$CC$48,$CD$46&gt;90,$CD$49&gt;90,$CD$47:$CD$48&lt;90,$CE$46:$CE$49=$CE$48,$CF$46&gt;$CF$47:$CF$49,$CF$47:$CF$49=$CF$48),1,0)</f>
        <v>0</v>
      </c>
      <c r="EC48" s="10" t="n">
        <v>4</v>
      </c>
      <c r="ED48" s="10"/>
      <c r="EE48" s="10"/>
      <c r="EF48" s="10"/>
      <c r="EG48" s="10"/>
      <c r="EH48" s="10"/>
      <c r="EI48" s="10"/>
      <c r="EJ48" s="10"/>
      <c r="EK48" s="10"/>
      <c r="EL48" s="10"/>
      <c r="FI48" s="73"/>
      <c r="FK48" s="73"/>
      <c r="FM48" s="73"/>
    </row>
    <row r="49" s="11" customFormat="true" ht="15.75" hidden="false" customHeight="false" outlineLevel="0" collapsed="false">
      <c r="A49" s="12"/>
      <c r="B49" s="12"/>
      <c r="C49" s="12"/>
      <c r="D49" s="35"/>
      <c r="E49" s="256"/>
      <c r="F49" s="282" t="n">
        <f aca="false">Horarios!C49</f>
        <v>44896.75</v>
      </c>
      <c r="G49" s="283" t="n">
        <f aca="false">Horarios!C49</f>
        <v>44896.75</v>
      </c>
      <c r="H49" s="282" t="s">
        <v>77</v>
      </c>
      <c r="I49" s="284" t="str">
        <f aca="false">A46</f>
        <v>Canadá</v>
      </c>
      <c r="J49" s="285" t="str">
        <f aca="false">VLOOKUP(I49,Equipos!$H$2:$I$33,2,0)</f>
        <v>🇨🇦</v>
      </c>
      <c r="K49" s="286" t="n">
        <v>1</v>
      </c>
      <c r="L49" s="286" t="n">
        <v>2</v>
      </c>
      <c r="M49" s="287" t="str">
        <f aca="false">VLOOKUP(N49,Equipos!$H$2:$I$33,2,0)</f>
        <v>🇲🇦</v>
      </c>
      <c r="N49" s="288" t="str">
        <f aca="false">A47</f>
        <v>Marruecos</v>
      </c>
      <c r="O49" s="44" t="n">
        <f aca="false">IF(NOT(OR(ISBLANK(K49),ISBLANK(L49))),1,0)</f>
        <v>1</v>
      </c>
      <c r="P49" s="45"/>
      <c r="Q49" s="289" t="n">
        <v>4</v>
      </c>
      <c r="R49" s="290" t="str">
        <f aca="false">VLOOKUP(Q49,$AG$46:$AI$49,3,0)</f>
        <v>Canadá</v>
      </c>
      <c r="S49" s="291" t="n">
        <f aca="false">VLOOKUP(R49,$AI$46:$AR$49,2,0)</f>
        <v>0</v>
      </c>
      <c r="T49" s="291" t="n">
        <f aca="false">VLOOKUP($R49,$AI$46:$AR$49,3,0)</f>
        <v>3</v>
      </c>
      <c r="U49" s="291" t="n">
        <f aca="false">VLOOKUP($R49,$AI$46:$AR$49,4,0)</f>
        <v>0</v>
      </c>
      <c r="V49" s="291" t="n">
        <f aca="false">VLOOKUP($R49,$AI$46:$AR$49,5,0)</f>
        <v>0</v>
      </c>
      <c r="W49" s="291" t="n">
        <f aca="false">VLOOKUP($R49,$AI$46:$AR$49,6,0)</f>
        <v>3</v>
      </c>
      <c r="X49" s="291" t="n">
        <f aca="false">VLOOKUP($R49,$AI$46:$AR$49,7,0)</f>
        <v>2</v>
      </c>
      <c r="Y49" s="291" t="n">
        <f aca="false">VLOOKUP($R49,$AI$46:$AR$49,8,0)</f>
        <v>7</v>
      </c>
      <c r="Z49" s="292" t="n">
        <f aca="false">VLOOKUP($R49,$AI$46:$AR$49,9,0)</f>
        <v>-5</v>
      </c>
      <c r="AA49" s="67" t="n">
        <f aca="false">IF(SUM($AK$46:$AK$49)=12,MIN(ABS(BY48-BY49),ABS(BY49-BY50)),100)</f>
        <v>22789500.22</v>
      </c>
      <c r="AB49" s="68" t="str">
        <f aca="false">IF(AND(AA49&gt;=0,AA49&lt;90),VLOOKUP(Q49,$BU$46:$BV$49,2,0),"")</f>
        <v/>
      </c>
      <c r="AC49" s="69"/>
      <c r="AD49" s="70"/>
      <c r="AE49" s="71"/>
      <c r="AF49" s="24" t="n">
        <f aca="false">VLOOKUP($R49,$AI$46:$AR$49,10,0)</f>
        <v>-22789500.22</v>
      </c>
      <c r="AG49" s="11" t="n">
        <f aca="false">RANK(AU49,$AU$46:$AU$49)</f>
        <v>2</v>
      </c>
      <c r="AH49" s="11" t="n">
        <f aca="false">RANK(AR49,$AR$46:$AR$49)</f>
        <v>2</v>
      </c>
      <c r="AI49" s="10" t="str">
        <f aca="false">A48</f>
        <v>Croacia</v>
      </c>
      <c r="AJ49" s="11" t="n">
        <f aca="false">AL49*3+AM49*1+AN49*0</f>
        <v>5</v>
      </c>
      <c r="AK49" s="11" t="n">
        <f aca="false">COUNTIFS($I$4:$I$65,AI49,$K$4:$K$65,"&lt;&gt;",$L$4:$L$65,"&lt;&gt;")+COUNTIFS($N$4:$N$65,AI49,$L$4:$L$65,"&lt;&gt;",$K$4:$K$65,"&lt;&gt;")</f>
        <v>3</v>
      </c>
      <c r="AL49" s="11" t="n">
        <f aca="false" t="array" ref="AL49:AL49">SUM(($I$4:$I$65=AI49)*($K$4:$K$65&lt;&gt;"")*($L$4:$L$65&lt;&gt;"")*($K$4:$K$65&gt;$L$4:$L$65),($N$4:$N$65=AI49)*($K$4:$K$65&lt;&gt;"")*($L$4:$L$65&lt;&gt;"")*($K$4:$K$65&lt;$L$4:$L$65))</f>
        <v>1</v>
      </c>
      <c r="AM49" s="11" t="n">
        <f aca="false" t="array" ref="AM49:AM49">SUM(($I$4:$I$65=AI49)*($K$4:$K$65&lt;&gt;"")*($L$4:$L$65&lt;&gt;"")*($K$4:$K$65=$L$4:$L$65),($N$4:$N$65=AI49)*($K$4:$K$65&lt;&gt;"")*($L$4:$L$65&lt;&gt;"")*($K$4:$K$65=$L$4:$L$65))</f>
        <v>2</v>
      </c>
      <c r="AN49" s="11" t="n">
        <f aca="false" t="array" ref="AN49:AN49">SUM(($I$4:$I$65=AI49)*($L$4:$L$65&lt;&gt;"")*($K$4:$K$65&lt;&gt;"")*($K$4:$K$65&lt;$L$4:$L$65),($K$4:$K$65&lt;&gt;"")*($N$4:$N$65=AI49)*($L$4:$L$65&lt;&gt;"")*($K$4:$K$65&gt;$L$4:$L$65))</f>
        <v>0</v>
      </c>
      <c r="AO49" s="11" t="n">
        <f aca="false" t="array" ref="AO49:AO49">SUMIFS($K$4:$K$65,$I$4:$I$65,AI49,$K$4:$K$65,"&lt;&gt;",$L$4:$L$65,"&lt;&gt;")+SUMIFS($L$4:$L$65,$N$4:$N$65,AI49,$K$4:$K$65,"&lt;&gt;",$L$4:$L$65,"&lt;&gt;")</f>
        <v>4</v>
      </c>
      <c r="AP49" s="11" t="n">
        <f aca="false" t="array" ref="AP49:AP49">SUMIFS($K$4:$K$65,$N$4:$N$65,AI49,$K$4:$K$65,"&lt;&gt;",$L$4:$L$65,"&lt;&gt;")+SUMIFS($L$4:$L$65,$I$4:$I$65,AI49,$K$4:$K$65,"&lt;&gt;",$L$4:$L$65,"&lt;&gt;")</f>
        <v>1</v>
      </c>
      <c r="AQ49" s="11" t="n">
        <f aca="false">AO49-AP49</f>
        <v>3</v>
      </c>
      <c r="AR49" s="11" t="n">
        <f aca="false">IF(AK49=0,-($AW$11*VLOOKUP(AI49,Tabla3[[NombreEquipo]:[Rank]],3,0)),AJ49*$AW$4+AQ49*$AW$5+AO49*$AW$6+BA49-($AW$11*VLOOKUP(AI49,Tabla3[[NombreEquipo]:[Rank]],3,0)/100))</f>
        <v>5574210499.76</v>
      </c>
      <c r="AS49" s="11" t="n">
        <f aca="false">AH49</f>
        <v>2</v>
      </c>
      <c r="AU49" s="11" t="n">
        <f aca="false">IFERROR(AR49-VLOOKUP(AI49,$AB$46:$AC$49,2,0),AR49)</f>
        <v>5574210499.76</v>
      </c>
      <c r="AW49" s="31"/>
      <c r="AY49" s="72" t="str">
        <f aca="false">AI49</f>
        <v>Croacia</v>
      </c>
      <c r="AZ49" s="11" t="n">
        <f aca="false">COUNTIF(AJ46:AJ49,AJ49)</f>
        <v>1</v>
      </c>
      <c r="BA49" s="11" t="n">
        <f aca="false">(BB49*$AW$9)+(BH49*$AW$8)+(BN49*$AW$7)</f>
        <v>210500</v>
      </c>
      <c r="BB49" s="73" t="n">
        <f aca="false">RANK(BC49,BC46:BC49,1)</f>
        <v>1</v>
      </c>
      <c r="BC49" s="73" t="n">
        <f aca="false">SUM(IF(AND(AJ49=AJ46,AQ49=AQ46,AO49=AO46),BD49,0),IF(AND(AJ49=AJ47,AQ49=AQ47,AO49=AO47),BE49,0),IF(AND(AJ49=AJ48,AQ49=AQ48,AO49=AO48),BF49,0))</f>
        <v>0</v>
      </c>
      <c r="BD49" s="73" t="n">
        <f aca="false" t="array" ref="BD49:BD49">SUMIFS($K$44:$K$49,$I$44:$I$49,$AY49,$K$44:$K$49,"&lt;&gt;",$L$44:$L$49,"&lt;&gt;",$N$44:$N$49,BD45)+SUMIFS($L$44:$L$49,$I$44:$I$49,BD45,$K$44:$K$49,"&lt;&gt;",$L$44:$L$49,"&lt;&gt;",$N$44:$N$49,$AY49)</f>
        <v>0</v>
      </c>
      <c r="BE49" s="73" t="n">
        <f aca="false" t="array" ref="BE49:BE49">SUMIFS($K$44:$K$49,$I$44:$I$49,$AY49,$K$44:$K$49,"&lt;&gt;",$L$44:$L$49,"&lt;&gt;",$N$44:$N$49,BE45)+SUMIFS($L$44:$L$49,$I$44:$I$49,BE45,$K$44:$K$49,"&lt;&gt;",$L$44:$L$49,"&lt;&gt;",$N$44:$N$49,$AY49)</f>
        <v>4</v>
      </c>
      <c r="BF49" s="73" t="n">
        <f aca="false" t="array" ref="BF49:BF49">SUMIFS($K$44:$K$49,$I$44:$I$49,$AY49,$K$44:$K$49,"&lt;&gt;",$L$44:$L$49,"&lt;&gt;",$N$44:$N$49,BF45)+SUMIFS($L$44:$L$49,$I$44:$I$49,BF45,$K$44:$K$49,"&lt;&gt;",$L$44:$L$49,"&lt;&gt;",$N$44:$N$49,$AY49)</f>
        <v>0</v>
      </c>
      <c r="BG49" s="73" t="n">
        <v>0</v>
      </c>
      <c r="BH49" s="73" t="n">
        <f aca="false">RANK(BI49,BI46:BI49,1)</f>
        <v>1</v>
      </c>
      <c r="BI49" s="73" t="n">
        <f aca="false">SUM(IF(AND(AJ49=AJ46,AQ49=AQ46,AO49=AO46),BJ49,0),IF(AND(AJ49=AJ47,AQ49=AQ47,AO49=AO47),BK49,0),IF(AND(AJ49=AJ48,AQ49=AQ48,AO49=AO48),BL49,0))</f>
        <v>0</v>
      </c>
      <c r="BJ49" s="73" t="n">
        <f aca="false">BD49-BG46</f>
        <v>0</v>
      </c>
      <c r="BK49" s="73" t="n">
        <f aca="false">BE49-BG47</f>
        <v>3</v>
      </c>
      <c r="BL49" s="73" t="n">
        <f aca="false">BF49-BG48</f>
        <v>0</v>
      </c>
      <c r="BM49" s="73" t="n">
        <v>0</v>
      </c>
      <c r="BN49" s="73" t="n">
        <f aca="false">RANK(BO49,BO46:BO49,1)</f>
        <v>1</v>
      </c>
      <c r="BO49" s="73" t="n">
        <f aca="false">SUM(IF(AND(AJ49=AJ46,AQ49=AQ46,AO49=AO46),BP49,0),IF(AND(AJ49=AJ47,AQ49=AQ47,AO49=AO47),BQ49,0),IF(AND(AJ49=AJ48,AQ49=AQ48,AO49=AO48),BR49,0))</f>
        <v>0</v>
      </c>
      <c r="BP49" s="73" t="n">
        <f aca="false" t="array" ref="BP49:BP49">SUM((I$4:I$49=AY49)*(N$4:N$49=BP45)*(K$4:K$49&lt;&gt;"")*(L$4:L$49&lt;&gt;"")*(K$4:K$49&gt;L$4:L$49)*3,(N$4:N$49=AY49)*(I$4:I$49=BP45)*(K$4:K$49&lt;&gt;"")*(L$4:L$49&lt;&gt;"")*(K$4:K$49=L$4:L$49)*1,(N$4:N$49=AY49)*(I$4:I$49=BP45)*(K$4:K$49&lt;&gt;"")*(L$4:L$49&lt;&gt;"")*(K$4:K$49&lt;L$4:L$49)*3,(I$4:I$49=AY49)*(N$4:N$49=BP45)*(K$4:K$49&lt;&gt;"")*(L$4:L$49&lt;&gt;"")*(K$4:K$49=L$4:L$49)*1)</f>
        <v>1</v>
      </c>
      <c r="BQ49" s="73" t="n">
        <f aca="false" t="array" ref="BQ49:BQ49">SUM((I$4:I$49=AY49)*(N$4:N$49=BQ45)*(K$4:K$49&lt;&gt;"")*(L$4:L$49&lt;&gt;"")*(K$4:K$49&gt;L$4:L$49)*3,(N$4:N$49=AY49)*(I$4:I$49=BQ45)*(K$4:K$49&lt;&gt;"")*(L$4:L$49&lt;&gt;"")*(K$4:K$49=L$4:L$49)*1,(N$4:N$49=AY49)*(I$4:I$49=BQ45)*(K$4:K$49&lt;&gt;"")*(L$4:L$49&lt;&gt;"")*(K$4:K$49&lt;L$4:L$49)*3,(I$4:I$49=AY49)*(N$4:N$49=BQ45)*(K$4:K$49&lt;&gt;"")*(L$4:L$49&lt;&gt;"")*(K$4:K$49=L$4:L$49)*1)</f>
        <v>3</v>
      </c>
      <c r="BR49" s="73" t="n">
        <f aca="false" t="array" ref="BR49:BR49">SUM((I$4:I$49=AY49)*(N$4:N$49=BR45)*(K$4:K$49&lt;&gt;"")*(L$4:L$49&lt;&gt;"")*(K$4:K$49&gt;L$4:L$49)*3,(N$4:N$49=AY49)*(I$4:I$49=BR45)*(K$4:K$49&lt;&gt;"")*(L$4:L$49&lt;&gt;"")*(K$4:K$49=L$4:L$49)*1,(N$4:N$49=AY49)*(I$4:I$49=BR45)*(K$4:K$49&lt;&gt;"")*(L$4:L$49&lt;&gt;"")*(K$4:K$49&lt;L$4:L$49)*3,(I$4:I$49=AY49)*(N$4:N$49=BR45)*(K$4:K$49&lt;&gt;"")*(L$4:L$49&lt;&gt;"")*(K$4:K$49=L$4:L$49)*1)</f>
        <v>1</v>
      </c>
      <c r="BS49" s="73" t="n">
        <v>0</v>
      </c>
      <c r="BT49" s="10" t="n">
        <v>4</v>
      </c>
      <c r="BU49" s="10" t="n">
        <f aca="false">RANK(BW49,$BW$46:$BW$49)</f>
        <v>2</v>
      </c>
      <c r="BV49" s="10" t="str">
        <f aca="false">A48</f>
        <v>Croacia</v>
      </c>
      <c r="BW49" s="10" t="n">
        <f aca="false">IF(AK49=0,-($AW$11*VLOOKUP(AI49,Tabla3[[NombreEquipo]:[Rank]],3,0)),AJ49*$AW$4+BA49+AQ49*$AW$8+AO49*$AW$9+AL49*$AW$10-($AW$11*VLOOKUP(AI49,Tabla3[[NombreEquipo]:[Rank]],3,0)/100))</f>
        <v>5555242599.76</v>
      </c>
      <c r="BX49" s="10" t="str">
        <f aca="false">VLOOKUP(Q49,$AH$46:$AI$49,2,0)</f>
        <v>Canadá</v>
      </c>
      <c r="BY49" s="10" t="n">
        <f aca="false">VLOOKUP($BX49,$AI$46:$AR$49,10,0)</f>
        <v>-22789500.22</v>
      </c>
      <c r="BZ49" s="10"/>
      <c r="CA49" s="10" t="n">
        <v>4</v>
      </c>
      <c r="CB49" s="10" t="str">
        <f aca="false">VLOOKUP(CA49,$AH$46:$AI$49,2,0)</f>
        <v>Canadá</v>
      </c>
      <c r="CC49" s="10" t="n">
        <f aca="false">VLOOKUP(CB49,$AI$46:$AR$49,2,0)</f>
        <v>0</v>
      </c>
      <c r="CD49" s="74" t="n">
        <f aca="false">IF(SUM($AK$46:$AK$49)=12,MIN(ABS(BY48-BY49),ABS(BY49-BY50)),100)</f>
        <v>22789500.22</v>
      </c>
      <c r="CE49" s="10" t="n">
        <f aca="false">VLOOKUP($CB49,$AI$46:$AR$49,9,0)</f>
        <v>-5</v>
      </c>
      <c r="CF49" s="10" t="n">
        <f aca="false">VLOOKUP($CB49,$AI$46:$AR$49,7,0)</f>
        <v>2</v>
      </c>
      <c r="CG49" s="10"/>
      <c r="CH49" s="10" t="n">
        <f aca="false" t="array" ref="CH49:CH49">IF($CI$46=$CL$45,$EC$45:$EC$48,IF(OR($CI$46=$CN$45,$CI$46=$CR$45),$EG$45:$EG$46,IF($CI$46=$CP$45,$EF$45:$EF$47,$EL$45)))</f>
        <v>4</v>
      </c>
      <c r="CK49" s="11" t="n">
        <v>4</v>
      </c>
      <c r="CL49" s="11" t="n">
        <f aca="false" t="array" ref="CL49:CL49">IF(AND($CC$46:$CC$49=$CC$49,$CD$46:$CD$49&lt;90,$AQ$46:$AQ$49=$AQ$49,$CF$46:$CF$49=$CF$49),1,0)</f>
        <v>0</v>
      </c>
      <c r="CM49" s="11" t="n">
        <f aca="false" t="array" ref="CM49:CM49">IF(AND($CC$46:$CC$48=$CC$46,$CD$46:$CD$48&lt;90,$CD$49&gt;90,$CC$46&lt;&gt;$CC$49),1,0)</f>
        <v>0</v>
      </c>
      <c r="CN49" s="11" t="n">
        <f aca="false" t="array" ref="CN49:CN49">IF(AND($CC$48:$CC$49=$CC$48,$CD$48:$CD$49&lt;90,$CC$48&lt;&gt;$CC$47),1,0)</f>
        <v>0</v>
      </c>
      <c r="CO49" s="11" t="n">
        <f aca="false" t="array" ref="CO49:CO49">IF(AND($CC$49&lt;&gt;$CC$47,$CC$49&lt;&gt;$CC$46),1,0)</f>
        <v>1</v>
      </c>
      <c r="CP49" s="11" t="n">
        <f aca="false" t="array" ref="CP49:CP49">IF(AND($CC$47:$CC$49=$CC$47,$CD$47:$CD$49&lt;90,$CC$46&lt;&gt;$CC$49),1,0)</f>
        <v>0</v>
      </c>
      <c r="CQ49" s="11" t="n">
        <f aca="false" t="array" ref="CQ49:CQ49">IF(AND($CC$49&lt;&gt;$CC$47,$CC$49&lt;&gt;$CC$46),1,0)</f>
        <v>1</v>
      </c>
      <c r="CR49" s="11" t="n">
        <f aca="false" t="array" ref="CR49:CR49">IF(AND($CC$48:$CC$49=$CC$48,$CD$48:$CD$49&lt;90,$CC$48&lt;&gt;$CC$47),1,0)</f>
        <v>0</v>
      </c>
      <c r="CS49" s="11" t="n">
        <f aca="false" t="array" ref="CS49:CS49">IF(AND($CC$49&lt;&gt;$CC$47,$CC$49&lt;&gt;$CC$46),1,0)</f>
        <v>1</v>
      </c>
      <c r="CT49" s="11" t="n">
        <f aca="false" t="array" ref="CT49:CT49">IF(AND($CC$46:$CC$49=$CC$46,$CD$46:$CD$49&lt;90,$CE$48:$CE$49=$CE$49,$CE$47&lt;&gt;$CE$49),1,0)</f>
        <v>0</v>
      </c>
      <c r="CU49" s="11" t="n">
        <f aca="false" t="array" ref="CU49:CU49">IF(AND($CC$46:$CC$49=$CC$46,$CD$46:$CD$49&lt;90,$CE$46:$CE$49=$CE$46,$CF$48=$CF$49,$CF$47&lt;&gt;$CF$48),1,0)</f>
        <v>0</v>
      </c>
      <c r="CV49" s="11" t="n">
        <f aca="false" t="array" ref="CV49:CV49">IF(AND($CC$46:$CC$48=$CC$46,$CD$46:$CD$47&lt;90,$CC$48&lt;&gt;$CC$49),1,0)</f>
        <v>0</v>
      </c>
      <c r="CW49" s="11" t="n">
        <f aca="false" t="array" ref="CW49:CW49">IF(AND($CC$47&lt;&gt;$CC$46,$CC$47:$CC$49=$CC$48,$CD$47&gt;90,$CD$48:$CD$49&lt;90),1,0)</f>
        <v>0</v>
      </c>
      <c r="CX49" s="11" t="n">
        <f aca="false" t="array" ref="CX49:CX49">IF(AND($CC$47&lt;&gt;$CC$46,$CC$47:$CC$49=$CC$47,$CD$49&gt;90,$CD$47:$CD$48&lt;90),1,0)</f>
        <v>0</v>
      </c>
      <c r="CY49" s="11" t="n">
        <f aca="false" t="array" ref="CY49:CY49">IF(AND($CC$49&lt;&gt;$CC$47,$CC$49&lt;&gt;$CC$48),1,0)</f>
        <v>1</v>
      </c>
      <c r="CZ49" s="11" t="n">
        <f aca="false" t="array" ref="CZ49:CZ49">IF(AND($CC$46:$CC$49=$CC$47,$CD$47:$CD$49&lt;90,$CD$46&lt;&gt;$CD$49),1,0)</f>
        <v>0</v>
      </c>
      <c r="DA49" s="11" t="n">
        <f aca="false" t="array" ref="DA49:DA49">IF(AND($CC$46:$CC$49=$CC$46,$CD$46:$CD$48&lt;90,$CD$48&lt;&gt;$CD$49),1,0)</f>
        <v>0</v>
      </c>
      <c r="DB49" s="11" t="n">
        <f aca="false" t="array" ref="DB49:DB49">IF(AND($CC$46:$CC$49=$CC$49,$CD$46:$CD$47&gt;90,$CD$48:$CD$49&lt;90,$CE$46:$CE$49=$CE$49,$CF$46&gt;$CF$47,$CF$47&gt;$CF$49,$CF$48=$CF$49),1,0)</f>
        <v>0</v>
      </c>
      <c r="DC49" s="11" t="n">
        <f aca="false" t="array" ref="DC49:DC49">IF(AND($CC$46:$CC$49=$CC$47,$CD$46&gt;90,$CD$47:$CD$48&lt;90,$CD$49&gt;90,$CE$46:$CE$49=$CE$49,$CF$46&gt;$CF$49,$CF$47=$CF$48,$CF$47&gt;$CF$49),1,0)</f>
        <v>0</v>
      </c>
      <c r="DD49" s="11" t="n">
        <f aca="false" t="array" ref="DD49:DD49">IF(AND($CC$46:$CC$49=$CC$49,$CD$46:$CD$47&lt;90,$CD$48:$CD$49&gt;90,$CE$46:$CE$49=$CE$49,$CF$46=$CF$47,$CF$47&gt;$CF$48,$CF$48&gt;$CF$49),1,0)</f>
        <v>0</v>
      </c>
      <c r="DE49" s="11" t="n">
        <f aca="false" t="array" ref="DE49:DE49">IF(AND($CC$46:$CC$49=$CC$49,$CD$46:$CD$47&gt;90,$CD$48:$CD$49&lt;90,$CE$46:$CE$49=$CE$49,$CF$46&gt;$CF$49,$CF$47:$CF$49=$CF$49),1,0)</f>
        <v>0</v>
      </c>
      <c r="DF49" s="11" t="n">
        <f aca="false" t="array" ref="DF49:DF49">IF(AND($CC$46:$CC$49=$CC$49,$CD$46:$CD$47&lt;90,$CD$48:$CD$49&gt;90,$CE$46:$CE$49=$CE$49,$CF$46:$CF$48=$CF$48,$CF$46:$CF$48&gt;$CF$49),1,0)</f>
        <v>0</v>
      </c>
      <c r="DG49" s="11" t="n">
        <f aca="false" t="array" ref="DG49:DG49">IF(AND($CC$46:$CC$49=$CC$49,$CD$46&gt;90,$CD$49&gt;90,$CD$47:$CD$48&lt;90,$CE$46:$CE$49=$CE$49,$CF$46&gt;$CF$47:$CF$49,$CF$47:$CF$49=$CF$49),1,0)</f>
        <v>0</v>
      </c>
      <c r="FI49" s="73"/>
      <c r="FK49" s="73"/>
      <c r="FM49" s="73"/>
    </row>
    <row r="50" s="11" customFormat="true" ht="15" hidden="false" customHeight="false" outlineLevel="0" collapsed="false">
      <c r="A50" s="12"/>
      <c r="B50" s="12"/>
      <c r="C50" s="12"/>
      <c r="D50" s="35"/>
      <c r="E50" s="15"/>
      <c r="F50" s="142"/>
      <c r="G50" s="15"/>
      <c r="H50" s="15"/>
      <c r="I50" s="15"/>
      <c r="J50" s="15"/>
      <c r="K50" s="15"/>
      <c r="L50" s="15"/>
      <c r="M50" s="14"/>
      <c r="N50" s="15"/>
      <c r="O50" s="141"/>
      <c r="P50" s="15"/>
      <c r="Q50" s="15"/>
      <c r="R50" s="15"/>
      <c r="S50" s="15"/>
      <c r="T50" s="15"/>
      <c r="U50" s="15"/>
      <c r="V50" s="15"/>
      <c r="W50" s="15"/>
      <c r="X50" s="15"/>
      <c r="Y50" s="15"/>
      <c r="Z50" s="15"/>
      <c r="AA50" s="142"/>
      <c r="AB50" s="15"/>
      <c r="AC50" s="143"/>
      <c r="AD50" s="70"/>
      <c r="AE50" s="71"/>
      <c r="AF50" s="24"/>
      <c r="AI50" s="10"/>
      <c r="AW50" s="31"/>
      <c r="AY50" s="72"/>
      <c r="BB50" s="73"/>
      <c r="BC50" s="73"/>
      <c r="BD50" s="73"/>
      <c r="BE50" s="73"/>
      <c r="BF50" s="73"/>
      <c r="BG50" s="73"/>
      <c r="BH50" s="73"/>
      <c r="BI50" s="73"/>
      <c r="BJ50" s="73"/>
      <c r="BK50" s="73"/>
      <c r="BL50" s="73"/>
      <c r="BM50" s="73"/>
      <c r="BN50" s="73"/>
      <c r="BO50" s="73"/>
      <c r="BP50" s="73"/>
      <c r="BQ50" s="73"/>
      <c r="BR50" s="73"/>
      <c r="BS50" s="73"/>
      <c r="BT50" s="10"/>
      <c r="BU50" s="10"/>
      <c r="BV50" s="10"/>
      <c r="BW50" s="10"/>
      <c r="BX50" s="10"/>
      <c r="BY50" s="10"/>
      <c r="BZ50" s="10"/>
      <c r="CA50" s="10"/>
      <c r="CB50" s="10"/>
      <c r="CC50" s="10"/>
      <c r="CD50" s="74"/>
      <c r="CE50" s="10"/>
      <c r="CF50" s="10"/>
      <c r="CG50" s="10"/>
      <c r="CH50" s="10"/>
      <c r="FI50" s="73"/>
      <c r="FK50" s="73"/>
      <c r="FM50" s="73"/>
    </row>
    <row r="51" s="11" customFormat="true" ht="15" hidden="false" customHeight="true" outlineLevel="0" collapsed="false">
      <c r="A51" s="12"/>
      <c r="B51" s="33"/>
      <c r="C51" s="12"/>
      <c r="D51" s="15"/>
      <c r="E51" s="25"/>
      <c r="F51" s="26" t="str">
        <f aca="false">F35</f>
        <v>Fecha</v>
      </c>
      <c r="G51" s="26" t="str">
        <f aca="false">G35</f>
        <v>Hora</v>
      </c>
      <c r="H51" s="27" t="str">
        <f aca="false">H35</f>
        <v>Jor.</v>
      </c>
      <c r="I51" s="28" t="str">
        <f aca="false">I35</f>
        <v>Casa</v>
      </c>
      <c r="J51" s="26"/>
      <c r="K51" s="29" t="str">
        <f aca="false">K35</f>
        <v>Gol</v>
      </c>
      <c r="L51" s="29" t="str">
        <f aca="false">L35</f>
        <v>Gol</v>
      </c>
      <c r="M51" s="29"/>
      <c r="N51" s="30" t="str">
        <f aca="false">N35</f>
        <v>Fuera</v>
      </c>
      <c r="O51" s="144"/>
      <c r="P51" s="21"/>
      <c r="Q51" s="21"/>
      <c r="R51" s="21"/>
      <c r="S51" s="21"/>
      <c r="T51" s="21"/>
      <c r="U51" s="21"/>
      <c r="V51" s="21"/>
      <c r="W51" s="21"/>
      <c r="X51" s="21"/>
      <c r="Y51" s="21"/>
      <c r="Z51" s="21"/>
      <c r="AA51" s="101"/>
      <c r="AB51" s="22"/>
      <c r="AC51" s="22"/>
      <c r="AD51" s="22"/>
      <c r="AE51" s="23"/>
      <c r="AF51" s="24"/>
      <c r="AW51" s="31"/>
      <c r="CH51" s="10"/>
      <c r="CL51" s="24" t="n">
        <v>1</v>
      </c>
      <c r="CM51" s="24" t="n">
        <v>12</v>
      </c>
      <c r="CN51" s="24" t="n">
        <v>18</v>
      </c>
      <c r="CO51" s="24" t="n">
        <v>19</v>
      </c>
      <c r="CP51" s="24" t="n">
        <v>13</v>
      </c>
      <c r="CQ51" s="24" t="n">
        <v>20</v>
      </c>
      <c r="CR51" s="24" t="n">
        <v>21</v>
      </c>
      <c r="CS51" s="24" t="n">
        <v>22</v>
      </c>
      <c r="CT51" s="24" t="n">
        <v>3</v>
      </c>
      <c r="CU51" s="24" t="n">
        <v>2</v>
      </c>
      <c r="CV51" s="24" t="n">
        <v>14</v>
      </c>
      <c r="CW51" s="24" t="n">
        <v>17</v>
      </c>
      <c r="CX51" s="24" t="n">
        <v>16</v>
      </c>
      <c r="CY51" s="24" t="n">
        <v>15</v>
      </c>
      <c r="CZ51" s="24" t="n">
        <v>4</v>
      </c>
      <c r="DA51" s="24" t="n">
        <v>5</v>
      </c>
      <c r="DB51" s="24" t="n">
        <v>10</v>
      </c>
      <c r="DC51" s="24" t="n">
        <v>8</v>
      </c>
      <c r="DD51" s="24" t="n">
        <v>6</v>
      </c>
      <c r="DE51" s="24" t="n">
        <v>11</v>
      </c>
      <c r="DF51" s="24" t="n">
        <v>7</v>
      </c>
      <c r="DG51" s="24" t="n">
        <v>9</v>
      </c>
      <c r="DH51" s="24"/>
      <c r="DI51" s="24"/>
      <c r="EC51" s="10" t="s">
        <v>19</v>
      </c>
      <c r="ED51" s="10" t="s">
        <v>20</v>
      </c>
      <c r="EE51" s="10" t="s">
        <v>21</v>
      </c>
      <c r="EF51" s="10" t="s">
        <v>22</v>
      </c>
      <c r="EG51" s="10" t="s">
        <v>23</v>
      </c>
      <c r="EH51" s="10" t="s">
        <v>24</v>
      </c>
      <c r="EI51" s="10" t="s">
        <v>25</v>
      </c>
      <c r="EJ51" s="10" t="s">
        <v>26</v>
      </c>
      <c r="EK51" s="10" t="s">
        <v>27</v>
      </c>
      <c r="EL51" s="10" t="s">
        <v>28</v>
      </c>
    </row>
    <row r="52" s="11" customFormat="true" ht="15" hidden="false" customHeight="true" outlineLevel="0" collapsed="false">
      <c r="A52" s="32" t="s">
        <v>29</v>
      </c>
      <c r="B52" s="33" t="s">
        <v>44</v>
      </c>
      <c r="C52" s="34" t="n">
        <f aca="false">COUNTIF(Equipos!$C$2:$C$33,MUNDIAL!B52)</f>
        <v>4</v>
      </c>
      <c r="D52" s="35"/>
      <c r="E52" s="293" t="s">
        <v>44</v>
      </c>
      <c r="F52" s="294" t="n">
        <f aca="false">Horarios!C52</f>
        <v>44889.5416666667</v>
      </c>
      <c r="G52" s="295" t="n">
        <f aca="false">Horarios!C52</f>
        <v>44889.5416666667</v>
      </c>
      <c r="H52" s="294" t="s">
        <v>31</v>
      </c>
      <c r="I52" s="296" t="str">
        <f aca="false">A55</f>
        <v>Suiza</v>
      </c>
      <c r="J52" s="297" t="str">
        <f aca="false">VLOOKUP(I52,Equipos!$H$2:$I$33,2,0)</f>
        <v>🇨🇭</v>
      </c>
      <c r="K52" s="298" t="n">
        <v>1</v>
      </c>
      <c r="L52" s="298" t="n">
        <v>0</v>
      </c>
      <c r="M52" s="299" t="str">
        <f aca="false">VLOOKUP(N52,Equipos!$H$2:$I$33,2,0)</f>
        <v>🇨🇲</v>
      </c>
      <c r="N52" s="300" t="str">
        <f aca="false">A56</f>
        <v>Camerún</v>
      </c>
      <c r="O52" s="44" t="n">
        <f aca="false">IF(NOT(OR(ISBLANK(K52),ISBLANK(L52))),1,0)</f>
        <v>1</v>
      </c>
      <c r="P52" s="45"/>
      <c r="Q52" s="301" t="str">
        <f aca="false">CONCATENATE("Grupo"," ",B52)</f>
        <v>Grupo G</v>
      </c>
      <c r="R52" s="301"/>
      <c r="S52" s="301"/>
      <c r="T52" s="301"/>
      <c r="U52" s="301"/>
      <c r="V52" s="301"/>
      <c r="W52" s="301"/>
      <c r="X52" s="301"/>
      <c r="Y52" s="301"/>
      <c r="Z52" s="301"/>
      <c r="AA52" s="111"/>
      <c r="AB52" s="48" t="s">
        <v>32</v>
      </c>
      <c r="AC52" s="48"/>
      <c r="AD52" s="48"/>
      <c r="AE52" s="23"/>
      <c r="AF52" s="24"/>
      <c r="AH52" s="11" t="str">
        <f aca="false">CONCATENATE("Auxiliar - ",Q52)</f>
        <v>Auxiliar - Grupo G</v>
      </c>
      <c r="AU52" s="11" t="s">
        <v>33</v>
      </c>
      <c r="AW52" s="31"/>
      <c r="AY52" s="24" t="str">
        <f aca="false">CONCATENATE(Q52," - GOLAVERAGE")</f>
        <v>Grupo G - GOLAVERAGE</v>
      </c>
      <c r="BB52" s="11" t="s">
        <v>35</v>
      </c>
      <c r="BH52" s="11" t="s">
        <v>36</v>
      </c>
      <c r="BN52" s="11" t="s">
        <v>37</v>
      </c>
      <c r="BO52" s="73"/>
      <c r="BP52" s="73"/>
      <c r="BQ52" s="73"/>
      <c r="BR52" s="73"/>
      <c r="BS52" s="73"/>
      <c r="BT52" s="10"/>
      <c r="BU52" s="10"/>
      <c r="BV52" s="10"/>
      <c r="BW52" s="10"/>
      <c r="BX52" s="10"/>
      <c r="BY52" s="10"/>
      <c r="BZ52" s="10"/>
      <c r="CA52" s="10"/>
      <c r="CB52" s="10"/>
      <c r="CC52" s="10"/>
      <c r="CD52" s="10"/>
      <c r="CE52" s="10"/>
      <c r="CF52" s="10"/>
      <c r="CG52" s="10"/>
      <c r="CH52" s="10"/>
      <c r="CI52" s="11" t="s">
        <v>38</v>
      </c>
      <c r="CK52" s="11" t="s">
        <v>39</v>
      </c>
      <c r="CL52" s="11" t="n">
        <f aca="false">SUM(CL54:CL57)</f>
        <v>0</v>
      </c>
      <c r="CM52" s="11" t="n">
        <f aca="false">SUM(CM54:CM57)</f>
        <v>0</v>
      </c>
      <c r="CN52" s="11" t="n">
        <f aca="false">SUM(CN54:CN57)</f>
        <v>0</v>
      </c>
      <c r="CO52" s="11" t="n">
        <f aca="false">SUM(CO54:CO57)</f>
        <v>2</v>
      </c>
      <c r="CP52" s="11" t="n">
        <f aca="false">SUM(CP54:CP57)</f>
        <v>0</v>
      </c>
      <c r="CQ52" s="11" t="n">
        <f aca="false">SUM(CQ54:CQ57)</f>
        <v>1</v>
      </c>
      <c r="CR52" s="11" t="n">
        <f aca="false">SUM(CR54:CR57)</f>
        <v>0</v>
      </c>
      <c r="CS52" s="11" t="n">
        <f aca="false">SUM(CS54:CS57)</f>
        <v>2</v>
      </c>
      <c r="CT52" s="11" t="n">
        <f aca="false">SUM(CT54:CT57)</f>
        <v>0</v>
      </c>
      <c r="CU52" s="11" t="n">
        <f aca="false">SUM(CU54:CU57)</f>
        <v>0</v>
      </c>
      <c r="CV52" s="11" t="n">
        <f aca="false">SUM(CV54:CV57)</f>
        <v>0</v>
      </c>
      <c r="CW52" s="11" t="n">
        <f aca="false">SUM(CW54:CW57)</f>
        <v>0</v>
      </c>
      <c r="CX52" s="11" t="n">
        <f aca="false">SUM(CX54:CX57)</f>
        <v>0</v>
      </c>
      <c r="CY52" s="11" t="n">
        <f aca="false">SUM(CY54:CY57)</f>
        <v>1</v>
      </c>
      <c r="CZ52" s="11" t="n">
        <f aca="false">SUM(CZ54:CZ57)</f>
        <v>0</v>
      </c>
      <c r="DA52" s="11" t="n">
        <f aca="false">SUM(DA54:DA57)</f>
        <v>0</v>
      </c>
      <c r="DB52" s="11" t="n">
        <f aca="false">SUM(DB54:DB57)</f>
        <v>0</v>
      </c>
      <c r="DC52" s="11" t="n">
        <f aca="false">SUM(DC54:DC57)</f>
        <v>0</v>
      </c>
      <c r="DD52" s="11" t="n">
        <f aca="false">SUM(DD54:DD57)</f>
        <v>0</v>
      </c>
      <c r="DE52" s="11" t="n">
        <f aca="false">SUM(DE54:DE57)</f>
        <v>0</v>
      </c>
      <c r="DF52" s="11" t="n">
        <f aca="false">SUM(DF54:DF57)</f>
        <v>0</v>
      </c>
      <c r="DG52" s="11" t="n">
        <f aca="false">SUM(DG54:DG57)</f>
        <v>0</v>
      </c>
      <c r="EC52" s="10" t="n">
        <v>1234</v>
      </c>
      <c r="ED52" s="10" t="n">
        <v>123</v>
      </c>
      <c r="EE52" s="10" t="n">
        <v>12</v>
      </c>
      <c r="EF52" s="10" t="n">
        <v>234</v>
      </c>
      <c r="EG52" s="10" t="n">
        <v>34</v>
      </c>
      <c r="EH52" s="10" t="n">
        <v>23</v>
      </c>
      <c r="EI52" s="10" t="n">
        <v>1</v>
      </c>
      <c r="EJ52" s="10" t="n">
        <v>2</v>
      </c>
      <c r="EK52" s="10" t="n">
        <v>3</v>
      </c>
      <c r="EL52" s="10" t="n">
        <v>4</v>
      </c>
      <c r="FM52" s="73"/>
    </row>
    <row r="53" s="11" customFormat="true" ht="15.75" hidden="false" customHeight="false" outlineLevel="0" collapsed="false">
      <c r="A53" s="32" t="str">
        <f aca="true" t="array" ref="A53:A53">IF(ROWS(A$53:A53)&lt;=$C$52,INDEX(INDIRECT(A$52),SMALL(IF(Nivell=$B$52,ROW(Nivell)-ROW(Equipos!$C$2)+1),ROWS(B$52:B52))),"")</f>
        <v>Brasil</v>
      </c>
      <c r="B53" s="33"/>
      <c r="C53" s="33"/>
      <c r="D53" s="35"/>
      <c r="E53" s="293"/>
      <c r="F53" s="302" t="n">
        <f aca="false">Horarios!C53</f>
        <v>44889.9166666667</v>
      </c>
      <c r="G53" s="303" t="n">
        <f aca="false">Horarios!C53</f>
        <v>44889.9166666667</v>
      </c>
      <c r="H53" s="302" t="s">
        <v>31</v>
      </c>
      <c r="I53" s="304" t="str">
        <f aca="false">A53</f>
        <v>Brasil</v>
      </c>
      <c r="J53" s="305" t="str">
        <f aca="false">VLOOKUP(I53,Equipos!$H$2:$I$33,2,0)</f>
        <v>🇧🇷</v>
      </c>
      <c r="K53" s="306" t="n">
        <v>2</v>
      </c>
      <c r="L53" s="306" t="n">
        <v>0</v>
      </c>
      <c r="M53" s="307" t="str">
        <f aca="false">VLOOKUP(N53,Equipos!$H$2:$I$33,2,0)</f>
        <v>🇷🇸</v>
      </c>
      <c r="N53" s="308" t="str">
        <f aca="false">A54</f>
        <v>Serbia</v>
      </c>
      <c r="O53" s="44" t="n">
        <f aca="false">IF(NOT(OR(ISBLANK(K53),ISBLANK(L53))),1,0)</f>
        <v>1</v>
      </c>
      <c r="P53" s="45"/>
      <c r="Q53" s="309" t="s">
        <v>40</v>
      </c>
      <c r="R53" s="310" t="s">
        <v>41</v>
      </c>
      <c r="S53" s="311" t="s">
        <v>42</v>
      </c>
      <c r="T53" s="311" t="s">
        <v>43</v>
      </c>
      <c r="U53" s="311" t="s">
        <v>44</v>
      </c>
      <c r="V53" s="311" t="s">
        <v>45</v>
      </c>
      <c r="W53" s="311" t="s">
        <v>46</v>
      </c>
      <c r="X53" s="311" t="s">
        <v>47</v>
      </c>
      <c r="Y53" s="311" t="s">
        <v>48</v>
      </c>
      <c r="Z53" s="312" t="s">
        <v>49</v>
      </c>
      <c r="AA53" s="111" t="n">
        <f aca="false">COUNTIF(AA54:AA57,"&lt;100")</f>
        <v>0</v>
      </c>
      <c r="AB53" s="48"/>
      <c r="AC53" s="48"/>
      <c r="AD53" s="48"/>
      <c r="AE53" s="23"/>
      <c r="AF53" s="24"/>
      <c r="AG53" s="60" t="s">
        <v>33</v>
      </c>
      <c r="AH53" s="60" t="s">
        <v>50</v>
      </c>
      <c r="AI53" s="60" t="s">
        <v>51</v>
      </c>
      <c r="AJ53" s="60" t="s">
        <v>52</v>
      </c>
      <c r="AK53" s="60" t="s">
        <v>43</v>
      </c>
      <c r="AL53" s="60" t="s">
        <v>44</v>
      </c>
      <c r="AM53" s="60" t="s">
        <v>45</v>
      </c>
      <c r="AN53" s="60" t="s">
        <v>46</v>
      </c>
      <c r="AO53" s="60" t="s">
        <v>47</v>
      </c>
      <c r="AP53" s="60" t="s">
        <v>48</v>
      </c>
      <c r="AQ53" s="60" t="s">
        <v>53</v>
      </c>
      <c r="AR53" s="60" t="s">
        <v>54</v>
      </c>
      <c r="AS53" s="60" t="s">
        <v>50</v>
      </c>
      <c r="AW53" s="31"/>
      <c r="AY53" s="60" t="s">
        <v>51</v>
      </c>
      <c r="AZ53" s="60" t="s">
        <v>56</v>
      </c>
      <c r="BA53" s="60" t="s">
        <v>57</v>
      </c>
      <c r="BB53" s="60" t="s">
        <v>58</v>
      </c>
      <c r="BC53" s="60" t="s">
        <v>59</v>
      </c>
      <c r="BD53" s="60" t="str">
        <f aca="false">AY54</f>
        <v>Brasil</v>
      </c>
      <c r="BE53" s="60" t="str">
        <f aca="false">AY55</f>
        <v>Serbia</v>
      </c>
      <c r="BF53" s="60" t="str">
        <f aca="false">AY56</f>
        <v>Suiza</v>
      </c>
      <c r="BG53" s="60" t="str">
        <f aca="false">AY57</f>
        <v>Camerún</v>
      </c>
      <c r="BH53" s="60" t="s">
        <v>58</v>
      </c>
      <c r="BI53" s="60" t="s">
        <v>59</v>
      </c>
      <c r="BJ53" s="60" t="str">
        <f aca="false">BD53</f>
        <v>Brasil</v>
      </c>
      <c r="BK53" s="60" t="str">
        <f aca="false">BE53</f>
        <v>Serbia</v>
      </c>
      <c r="BL53" s="60" t="str">
        <f aca="false">BF53</f>
        <v>Suiza</v>
      </c>
      <c r="BM53" s="60" t="str">
        <f aca="false">BG53</f>
        <v>Camerún</v>
      </c>
      <c r="BN53" s="60" t="s">
        <v>58</v>
      </c>
      <c r="BO53" s="60" t="s">
        <v>59</v>
      </c>
      <c r="BP53" s="60" t="str">
        <f aca="false">BD53</f>
        <v>Brasil</v>
      </c>
      <c r="BQ53" s="60" t="str">
        <f aca="false">BE53</f>
        <v>Serbia</v>
      </c>
      <c r="BR53" s="60" t="str">
        <f aca="false">BF53</f>
        <v>Suiza</v>
      </c>
      <c r="BS53" s="60" t="str">
        <f aca="false">BG53</f>
        <v>Camerún</v>
      </c>
      <c r="BT53" s="10"/>
      <c r="BU53" s="61"/>
      <c r="BV53" s="61" t="s">
        <v>60</v>
      </c>
      <c r="BW53" s="61"/>
      <c r="BX53" s="61" t="s">
        <v>62</v>
      </c>
      <c r="BY53" s="61"/>
      <c r="BZ53" s="10"/>
      <c r="CA53" s="61"/>
      <c r="CB53" s="61" t="s">
        <v>51</v>
      </c>
      <c r="CC53" s="61" t="s">
        <v>52</v>
      </c>
      <c r="CD53" s="61" t="s">
        <v>63</v>
      </c>
      <c r="CE53" s="61" t="s">
        <v>53</v>
      </c>
      <c r="CF53" s="61" t="s">
        <v>64</v>
      </c>
      <c r="CG53" s="61"/>
      <c r="CH53" s="10"/>
      <c r="CK53" s="11" t="s">
        <v>65</v>
      </c>
      <c r="CL53" s="11" t="s">
        <v>66</v>
      </c>
      <c r="CM53" s="11" t="s">
        <v>67</v>
      </c>
      <c r="CN53" s="11" t="s">
        <v>68</v>
      </c>
      <c r="CO53" s="11" t="s">
        <v>69</v>
      </c>
      <c r="CP53" s="11" t="s">
        <v>70</v>
      </c>
      <c r="CQ53" s="11" t="s">
        <v>71</v>
      </c>
      <c r="CR53" s="11" t="s">
        <v>72</v>
      </c>
      <c r="CS53" s="11" t="s">
        <v>73</v>
      </c>
      <c r="CT53" s="11" t="s">
        <v>68</v>
      </c>
      <c r="CU53" s="11" t="s">
        <v>68</v>
      </c>
      <c r="CV53" s="11" t="s">
        <v>69</v>
      </c>
      <c r="CW53" s="11" t="s">
        <v>72</v>
      </c>
      <c r="CX53" s="11" t="s">
        <v>71</v>
      </c>
      <c r="CY53" s="11" t="s">
        <v>71</v>
      </c>
      <c r="CZ53" s="11" t="s">
        <v>70</v>
      </c>
      <c r="DA53" s="11" t="s">
        <v>67</v>
      </c>
      <c r="DB53" s="11" t="s">
        <v>72</v>
      </c>
      <c r="DC53" s="11" t="s">
        <v>71</v>
      </c>
      <c r="DD53" s="11" t="s">
        <v>69</v>
      </c>
      <c r="DE53" s="11" t="s">
        <v>72</v>
      </c>
      <c r="DF53" s="11" t="s">
        <v>69</v>
      </c>
      <c r="DG53" s="11" t="s">
        <v>71</v>
      </c>
      <c r="EC53" s="10" t="n">
        <v>1</v>
      </c>
      <c r="ED53" s="10" t="n">
        <v>1</v>
      </c>
      <c r="EE53" s="10" t="n">
        <v>1</v>
      </c>
      <c r="EF53" s="10" t="n">
        <v>2</v>
      </c>
      <c r="EG53" s="10" t="n">
        <v>3</v>
      </c>
      <c r="EH53" s="10" t="n">
        <v>2</v>
      </c>
      <c r="EI53" s="10" t="n">
        <v>1</v>
      </c>
      <c r="EJ53" s="10" t="n">
        <v>2</v>
      </c>
      <c r="EK53" s="10" t="n">
        <v>3</v>
      </c>
      <c r="EL53" s="10" t="n">
        <v>4</v>
      </c>
      <c r="FI53" s="60"/>
      <c r="FK53" s="60"/>
      <c r="FM53" s="60"/>
      <c r="HW53" s="73"/>
    </row>
    <row r="54" s="24" customFormat="true" ht="15" hidden="false" customHeight="false" outlineLevel="0" collapsed="false">
      <c r="A54" s="32" t="str">
        <f aca="true" t="array" ref="A54:A54">IF(ROWS(A$53:A54)&lt;=$C$52,INDEX(INDIRECT(A$52),SMALL(IF(Nivell=$B$52,ROW(Nivell)-ROW(Equipos!$C$2)+1),ROWS(B$52:B53))),"")</f>
        <v>Serbia</v>
      </c>
      <c r="B54" s="33"/>
      <c r="C54" s="62"/>
      <c r="D54" s="35"/>
      <c r="E54" s="293"/>
      <c r="F54" s="302" t="n">
        <f aca="false">Horarios!C54</f>
        <v>44893.5416666667</v>
      </c>
      <c r="G54" s="303" t="n">
        <f aca="false">Horarios!C54</f>
        <v>44893.5416666667</v>
      </c>
      <c r="H54" s="302" t="s">
        <v>74</v>
      </c>
      <c r="I54" s="304" t="str">
        <f aca="false">A56</f>
        <v>Camerún</v>
      </c>
      <c r="J54" s="305" t="str">
        <f aca="false">VLOOKUP(I54,Equipos!$H$2:$I$33,2,0)</f>
        <v>🇨🇲</v>
      </c>
      <c r="K54" s="306" t="n">
        <v>3</v>
      </c>
      <c r="L54" s="306" t="n">
        <v>3</v>
      </c>
      <c r="M54" s="307" t="str">
        <f aca="false">VLOOKUP(N54,Equipos!$H$2:$I$33,2,0)</f>
        <v>🇷🇸</v>
      </c>
      <c r="N54" s="308" t="str">
        <f aca="false">A54</f>
        <v>Serbia</v>
      </c>
      <c r="O54" s="44" t="n">
        <f aca="false">IF(NOT(OR(ISBLANK(K54),ISBLANK(L54))),1,0)</f>
        <v>1</v>
      </c>
      <c r="P54" s="45"/>
      <c r="Q54" s="313" t="n">
        <v>1</v>
      </c>
      <c r="R54" s="314" t="str">
        <f aca="false">VLOOKUP(Q54,$AG$54:$AI$57,3,0)</f>
        <v>Brasil</v>
      </c>
      <c r="S54" s="315" t="n">
        <f aca="false">VLOOKUP(R54,$AI$54:$AR$57,2,0)</f>
        <v>6</v>
      </c>
      <c r="T54" s="315" t="n">
        <f aca="false">VLOOKUP($R54,$AI$54:$AR$57,3,0)</f>
        <v>3</v>
      </c>
      <c r="U54" s="315" t="n">
        <f aca="false">VLOOKUP($R54,$AI$54:$AR$57,4,0)</f>
        <v>2</v>
      </c>
      <c r="V54" s="315" t="n">
        <f aca="false">VLOOKUP($R54,$AI$54:$AR$57,5,0)</f>
        <v>0</v>
      </c>
      <c r="W54" s="315" t="n">
        <f aca="false">VLOOKUP($R54,$AI$54:$AR$57,6,0)</f>
        <v>1</v>
      </c>
      <c r="X54" s="315" t="n">
        <f aca="false">VLOOKUP($R54,$AI$54:$AR$57,7,0)</f>
        <v>3</v>
      </c>
      <c r="Y54" s="315" t="n">
        <f aca="false">VLOOKUP($R54,$AI$54:$AR$57,8,0)</f>
        <v>1</v>
      </c>
      <c r="Z54" s="316" t="n">
        <f aca="false">VLOOKUP($R54,$AI$54:$AR$57,9,0)</f>
        <v>2</v>
      </c>
      <c r="AA54" s="67" t="n">
        <f aca="false">IF(SUM($AK$54:$AK$57)=12,MIN(ABS(BY53-BY54),ABS(BY54-BY55)),100)</f>
        <v>4000000.02000046</v>
      </c>
      <c r="AB54" s="68" t="str">
        <f aca="false">IF(AND(AA54&gt;=0,AA54&lt;90),VLOOKUP(Q54,$BU$54:$BV$57,2,0),"")</f>
        <v/>
      </c>
      <c r="AC54" s="69"/>
      <c r="AD54" s="70"/>
      <c r="AE54" s="71"/>
      <c r="AF54" s="24" t="n">
        <f aca="false">VLOOKUP($R54,$AI$54:$AR$57,10,0)</f>
        <v>6679210499.75</v>
      </c>
      <c r="AG54" s="11" t="n">
        <f aca="false">RANK(AU54,$AU$54:$AU$57)</f>
        <v>1</v>
      </c>
      <c r="AH54" s="11" t="n">
        <f aca="false">RANK(AR54,$AR$54:$AR$57)</f>
        <v>1</v>
      </c>
      <c r="AI54" s="10" t="str">
        <f aca="false">A53</f>
        <v>Brasil</v>
      </c>
      <c r="AJ54" s="11" t="n">
        <f aca="false">AL54*3+AM54*1+AN54*0</f>
        <v>6</v>
      </c>
      <c r="AK54" s="11" t="n">
        <f aca="false">COUNTIFS($I$4:$I$65,AI54,$K$4:$K$65,"&lt;&gt;",$L$4:$L$65,"&lt;&gt;")+COUNTIFS($N$4:$N$65,AI54,$L$4:$L$65,"&lt;&gt;",$K$4:$K$65,"&lt;&gt;")</f>
        <v>3</v>
      </c>
      <c r="AL54" s="11" t="n">
        <f aca="false" t="array" ref="AL54:AL54">SUM(($I$4:$I$65=AI54)*($K$4:$K$65&lt;&gt;"")*($L$4:$L$65&lt;&gt;"")*($K$4:$K$65&gt;$L$4:$L$65),($N$4:$N$65=AI54)*($K$4:$K$65&lt;&gt;"")*($L$4:$L$65&lt;&gt;"")*($K$4:$K$65&lt;$L$4:$L$65))</f>
        <v>2</v>
      </c>
      <c r="AM54" s="11" t="n">
        <f aca="false" t="array" ref="AM54:AM54">SUM(($I$4:$I$65=AI54)*($K$4:$K$65&lt;&gt;"")*($L$4:$L$65&lt;&gt;"")*($K$4:$K$65=$L$4:$L$65),($N$4:$N$65=AI54)*($K$4:$K$65&lt;&gt;"")*($L$4:$L$65&lt;&gt;"")*($K$4:$K$65=$L$4:$L$65))</f>
        <v>0</v>
      </c>
      <c r="AN54" s="11" t="n">
        <f aca="false" t="array" ref="AN54:AN54">SUM(($I$4:$I$65=AI54)*($L$4:$L$65&lt;&gt;"")*($K$4:$K$65&lt;&gt;"")*($K$4:$K$65&lt;$L$4:$L$65),($K$4:$K$65&lt;&gt;"")*($N$4:$N$65=AI54)*($L$4:$L$65&lt;&gt;"")*($K$4:$K$65&gt;$L$4:$L$65))</f>
        <v>1</v>
      </c>
      <c r="AO54" s="11" t="n">
        <f aca="false" t="array" ref="AO54:AO54">SUMIFS($K$4:$K$65,$I$4:$I$65,AI54,$K$4:$K$65,"&lt;&gt;",$L$4:$L$65,"&lt;&gt;")+SUMIFS($L$4:$L$65,$N$4:$N$65,AI54,$K$4:$K$65,"&lt;&gt;",$L$4:$L$65,"&lt;&gt;")</f>
        <v>3</v>
      </c>
      <c r="AP54" s="11" t="n">
        <f aca="false" t="array" ref="AP54:AP54">SUMIFS($K$4:$K$65,$N$4:$N$65,AI54,$K$4:$K$65,"&lt;&gt;",$L$4:$L$65,"&lt;&gt;")+SUMIFS($L$4:$L$65,$I$4:$I$65,AI54,$K$4:$K$65,"&lt;&gt;",$L$4:$L$65,"&lt;&gt;")</f>
        <v>1</v>
      </c>
      <c r="AQ54" s="11" t="n">
        <f aca="false">AO54-AP54</f>
        <v>2</v>
      </c>
      <c r="AR54" s="11" t="n">
        <f aca="false">IF(AK54=0,-($AW$11*VLOOKUP(AI54,Tabla3[[NombreEquipo]:[Rank]],3,0)),AJ54*$AW$4+AQ54*$AW$5+AO54*$AW$6+BA54-($AW$11*VLOOKUP(AI54,Tabla3[[NombreEquipo]:[Rank]],3,0)/100))</f>
        <v>6679210499.75</v>
      </c>
      <c r="AS54" s="11" t="n">
        <f aca="false">AH54</f>
        <v>1</v>
      </c>
      <c r="AT54" s="11"/>
      <c r="AU54" s="11" t="n">
        <f aca="false">IFERROR(AR54-VLOOKUP(AI54,$AB$54:$AC$57,2,0),AR54)</f>
        <v>6679210499.75</v>
      </c>
      <c r="AV54" s="11"/>
      <c r="AW54" s="31"/>
      <c r="AX54" s="11"/>
      <c r="AY54" s="72" t="str">
        <f aca="false">AI54</f>
        <v>Brasil</v>
      </c>
      <c r="AZ54" s="11" t="n">
        <f aca="false">COUNTIF(AJ54:AJ57,AJ54)</f>
        <v>2</v>
      </c>
      <c r="BA54" s="11" t="n">
        <f aca="false">(BB54*$AW$9)+(BH54*$AW$8)+(BN54*$AW$7)</f>
        <v>210500</v>
      </c>
      <c r="BB54" s="73" t="n">
        <f aca="false">RANK(BC54,BC54:BC57,1)</f>
        <v>1</v>
      </c>
      <c r="BC54" s="73" t="n">
        <f aca="false">SUM(IF(AND(AJ54=AJ55,AQ54=AQ55,AO54=AO55),BE54,0),IF(AND(AJ54=AJ56,AQ54=AQ56,AO54=AO56),BF54,0),IF(AND(AJ54=AJ57,AQ54=AQ57,AO54=AO57),BG54,0))</f>
        <v>0</v>
      </c>
      <c r="BD54" s="73" t="n">
        <v>0</v>
      </c>
      <c r="BE54" s="73" t="n">
        <f aca="false" t="array" ref="BE54:BE54">SUMIFS($K$52:$K$57,$I$52:$I$57,$AY54,$K$52:$K$57,"&lt;&gt;",$L$52:$L$57,"&lt;&gt;",$N$52:$N$57,BE53)+SUMIFS($L$52:$L$57,$I$52:$I$57,BE53,$K$52:$K$57,"&lt;&gt;",$L$52:$L$57,"&lt;&gt;",$N$52:$N$57,$AY54)</f>
        <v>2</v>
      </c>
      <c r="BF54" s="73" t="n">
        <f aca="false" t="array" ref="BF54:BF54">SUMIFS($K$52:$K$57,$I$52:$I$57,$AY54,$K$52:$K$57,"&lt;&gt;",$L$52:$L$57,"&lt;&gt;",$N$52:$N$57,BF53)+SUMIFS($L$52:$L$57,$I$52:$I$57,BF53,$K$52:$K$57,"&lt;&gt;",$L$52:$L$57,"&lt;&gt;",$N$52:$N$57,$AY54)</f>
        <v>1</v>
      </c>
      <c r="BG54" s="73" t="n">
        <f aca="false" t="array" ref="BG54:BG54">SUMIFS($K$52:$K$57,$I$52:$I$57,$AY54,$K$52:$K$57,"&lt;&gt;",$L$52:$L$57,"&lt;&gt;",$N$52:$N$57,BG53)+SUMIFS($L$52:$L$57,$I$52:$I$57,BG53,$K$52:$K$57,"&lt;&gt;",$L$52:$L$57,"&lt;&gt;",$N$52:$N$57,$AY54)</f>
        <v>0</v>
      </c>
      <c r="BH54" s="73" t="n">
        <f aca="false">RANK(BI54,BI54:BI57,1)</f>
        <v>1</v>
      </c>
      <c r="BI54" s="73" t="n">
        <f aca="false">SUM(IF(AND(AJ54=AJ55,AQ54=AQ55,AO54=AO55),BK54,0),IF(AND(AJ54=AJ56,AQ54=AQ56,AO54=AO56),BL54,0),IF(AND(AJ54=AJ57,AQ54=AQ57,AO54=AO57),BM54,0))</f>
        <v>0</v>
      </c>
      <c r="BJ54" s="73" t="n">
        <v>0</v>
      </c>
      <c r="BK54" s="73" t="n">
        <f aca="false">BE54-BD55</f>
        <v>2</v>
      </c>
      <c r="BL54" s="73" t="n">
        <f aca="false">BF54-BD56</f>
        <v>1</v>
      </c>
      <c r="BM54" s="73" t="n">
        <f aca="false">BG54-BD57</f>
        <v>-1</v>
      </c>
      <c r="BN54" s="73" t="n">
        <f aca="false">RANK(BO54,BO54:BO57,1)</f>
        <v>1</v>
      </c>
      <c r="BO54" s="73" t="n">
        <f aca="false">SUM(IF(AND(AJ54=AJ55,AQ54=AQ55,AO54=AO55),BQ54,0),IF(AND(AJ54=AJ56,AQ54=AQ56,AO54=AO56),BR54,0),IF(AND(AJ54=AJ57,AQ54=AQ57,AO54=AO57),BS54,0))</f>
        <v>0</v>
      </c>
      <c r="BP54" s="73" t="n">
        <v>0</v>
      </c>
      <c r="BQ54" s="73" t="n">
        <f aca="false" t="array" ref="BQ54:BQ54">SUM((I$4:I$57=AY54)*(N$4:N$57=BQ53)*(K$4:K$57&lt;&gt;"")*(L$4:L$57&lt;&gt;"")*(K$4:K$57&gt;L$4:L$57)*3,(N$4:N$57=AY54)*(I$4:I$57=BQ53)*(K$4:K$57&lt;&gt;"")*(L$4:L$57&lt;&gt;"")*(K$4:K$57=L$4:L$57)*1,(N$4:N$57=AY54)*(I$4:I$57=BQ53)*(K$4:K$57&lt;&gt;"")*(L$4:L$57&lt;&gt;"")*(K$4:K$57&lt;L$4:L$57)*3,(I$4:I$57=AY54)*(N$4:N$57=BQ53)*(K$4:K$57&lt;&gt;"")*(L$4:L$57&lt;&gt;"")*(K$4:K$57=L$4:L$57)*1)</f>
        <v>3</v>
      </c>
      <c r="BR54" s="73" t="n">
        <f aca="false" t="array" ref="BR54:BR54">SUM((I$4:I$57=AY54)*(N$4:N$57=BR53)*(K$4:K$57&lt;&gt;"")*(L$4:L$57&lt;&gt;"")*(K$4:K$57&gt;L$4:L$57)*3,(N$4:N$57=AY54)*(I$4:I$57=BR53)*(K$4:K$57&lt;&gt;"")*(L$4:L$57&lt;&gt;"")*(K$4:K$57=L$4:L$57)*1,(N$4:N$57=AY54)*(I$4:I$57=BR53)*(K$4:K$57&lt;&gt;"")*(L$4:L$57&lt;&gt;"")*(K$4:K$57&lt;L$4:L$57)*3,(I$4:I$57=AY54)*(N$4:N$57=BR53)*(K$4:K$57&lt;&gt;"")*(L$4:L$57&lt;&gt;"")*(K$4:K$57=L$4:L$57)*1)</f>
        <v>3</v>
      </c>
      <c r="BS54" s="73" t="n">
        <f aca="false" t="array" ref="BS54:BS54">SUM((I$4:I$57=AY54)*(N$4:N$57=BS53)*(K$4:K$57&lt;&gt;"")*(L$4:L$57&lt;&gt;"")*(K$4:K$57&gt;L$4:L$57)*3,(N$4:N$57=AY54)*(I$4:I$57=BS53)*(K$4:K$57&lt;&gt;"")*(L$4:L$57&lt;&gt;"")*(K$4:K$57=L$4:L$57)*1,(N$4:N$57=AY54)*(I$4:I$57=BS53)*(K$4:K$57&lt;&gt;"")*(L$4:L$57&lt;&gt;"")*(K$4:K$57&lt;L$4:L$57)*3,(I$4:I$57=AY54)*(N$4:N$57=BS53)*(K$4:K$57&lt;&gt;"")*(L$4:L$57&lt;&gt;"")*(K$4:K$57=L$4:L$57)*1)</f>
        <v>0</v>
      </c>
      <c r="BT54" s="10" t="n">
        <v>1</v>
      </c>
      <c r="BU54" s="10" t="n">
        <f aca="false">RANK(BW54,$BW$54:$BW$57)</f>
        <v>1</v>
      </c>
      <c r="BV54" s="10" t="str">
        <f aca="false">A53</f>
        <v>Brasil</v>
      </c>
      <c r="BW54" s="10" t="n">
        <f aca="false">IF(AK54=0,-($AW$11*VLOOKUP(AI54,Tabla3[[NombreEquipo]:[Rank]],3,0)),AJ54*$AW$4+BA54+AQ54*$AW$8+AO54*$AW$9+AL54*$AW$10-($AW$11*VLOOKUP(AI54,Tabla3[[NombreEquipo]:[Rank]],3,0)/100))</f>
        <v>6666232199.75</v>
      </c>
      <c r="BX54" s="10" t="str">
        <f aca="false">VLOOKUP(Q54,$AH$54:$AI$57,2,0)</f>
        <v>Brasil</v>
      </c>
      <c r="BY54" s="10" t="n">
        <f aca="false">VLOOKUP($BX54,$AI$54:$AR$57,10,0)</f>
        <v>6679210499.75</v>
      </c>
      <c r="BZ54" s="10"/>
      <c r="CA54" s="10" t="n">
        <v>1</v>
      </c>
      <c r="CB54" s="10" t="str">
        <f aca="false">VLOOKUP(CA54,$AH$54:$AI$57,2,0)</f>
        <v>Brasil</v>
      </c>
      <c r="CC54" s="10" t="n">
        <f aca="false">VLOOKUP(CB54,$AI$54:$AR$57,2,0)</f>
        <v>6</v>
      </c>
      <c r="CD54" s="74" t="n">
        <f aca="false">IF(SUM($AK$54:$AK$57)=12,MIN(ABS(BY53-BY54),ABS(BY54-BY55)),100)</f>
        <v>4000000.02000046</v>
      </c>
      <c r="CE54" s="10" t="n">
        <f aca="false">VLOOKUP($CB54,$AI$54:$AR$57,9,0)</f>
        <v>2</v>
      </c>
      <c r="CF54" s="10" t="n">
        <f aca="false">VLOOKUP($CB54,$AI$54:$AR$57,7,0)</f>
        <v>3</v>
      </c>
      <c r="CG54" s="10"/>
      <c r="CH54" s="10" t="n">
        <f aca="false" t="array" ref="CH54:CH54">IF($CI$54=$CL$53,$EC$53:$EC$56,IF($CI$54=$CM$53,$ED$53:$ED$55,IF(OR($CI$54=$CN$53,$CI$54=$CO$53),$EE$53:$EE$54,$EI$53)))</f>
        <v>1</v>
      </c>
      <c r="CI54" s="11" t="str">
        <f aca="false">IFERROR(HLOOKUP(4,CL52:DI53,2,0),CS53)</f>
        <v>COM_8</v>
      </c>
      <c r="CJ54" s="11"/>
      <c r="CK54" s="11" t="n">
        <v>1</v>
      </c>
      <c r="CL54" s="11" t="n">
        <f aca="false" t="array" ref="CL54:CL54">IF(AND($CC$54:$CC$57=$CC$54,$CD$54:$CD$57&lt;90,$AQ$54:$AQ$57=$AQ$54,$CF$54:$CF$57=$CF$54),1,0)</f>
        <v>0</v>
      </c>
      <c r="CM54" s="11" t="n">
        <f aca="false" t="array" ref="CM54:CM54">IF(AND($CC$54:$CC$56=$CC$54,$CD$54:$CD$56&lt;90,$CC$54&lt;&gt;$CC$57),1,0)</f>
        <v>0</v>
      </c>
      <c r="CN54" s="11" t="n">
        <f aca="false" t="array" ref="CN54:CN54">IF(AND($CC$54:$CC$55=$CC$54,$CD$54:$CD$55&lt;90,$CC$54&lt;&gt;$CC$56),1,0)</f>
        <v>0</v>
      </c>
      <c r="CO54" s="11" t="n">
        <f aca="false" t="array" ref="CO54:CO54">IF(AND($CC$54:$CC$55=$CC$54,$CD$54:$CD$55&lt;90,$CC$54&lt;&gt;$CC$56),1,0)</f>
        <v>0</v>
      </c>
      <c r="CP54" s="11" t="n">
        <f aca="false" t="array" ref="CP54:CP54">IF(AND($CC$55:$CC$57=$CC$55,$CD$55:$CD$57&lt;90,$CC$54&lt;&gt;$CC$55),1,0)</f>
        <v>0</v>
      </c>
      <c r="CQ54" s="11" t="n">
        <f aca="false" t="array" ref="CQ54:CQ54">IF(AND($CC$54&lt;&gt;$CC$55,$CC$54&lt;&gt;$CC$57),1,0)</f>
        <v>0</v>
      </c>
      <c r="CR54" s="11" t="n">
        <f aca="false" t="array" ref="CR54:CR54">IF(AND($CC$54&lt;&gt;$CC$55,$CC$54&lt;&gt;$CC$57),1,0)</f>
        <v>0</v>
      </c>
      <c r="CS54" s="11" t="n">
        <f aca="false" t="array" ref="CS54:CS54">IF(AND($CC$54&lt;&gt;$CC$55,$CC$54&lt;&gt;$CC$57),1,0)</f>
        <v>0</v>
      </c>
      <c r="CT54" s="11" t="n">
        <f aca="false">IF(AND($CC$54:$CC$57=$CC$54,$CD$54:$CD$57&lt;90,$CE$54:$CE$55=$CE$54,$CE$54&lt;&gt;$CE$56),1,0)</f>
        <v>0</v>
      </c>
      <c r="CU54" s="11" t="n">
        <f aca="false" t="array" ref="CU54:CU54">IF(AND($CC$54:$CC$57=$CC$54,$CD$54:$CD$57&lt;90,$CE$54:$CE$57=$CE$54,$CF$54=$CF$55,$CF$54&lt;&gt;$CF$56),1,0)</f>
        <v>0</v>
      </c>
      <c r="CV54" s="11" t="n">
        <f aca="false" t="array" ref="CV54:CV54">IF(AND($CC$54:$CC$56=$CC$54,$CD$54:$CD$55&lt;90,$CD$56&gt;90),1,0)</f>
        <v>0</v>
      </c>
      <c r="CW54" s="11" t="n">
        <f aca="false" t="array" ref="CW54:CW54">IF(AND($CC$54&lt;&gt;$CC$55,$CC$54&lt;&gt;$CC$56),1,0)</f>
        <v>0</v>
      </c>
      <c r="CX54" s="11" t="n">
        <f aca="false" t="array" ref="CX54:CX54">IF(AND($CC$54&lt;&gt;$CC$55,$CC$54&lt;&gt;$CC$56),1,0)</f>
        <v>0</v>
      </c>
      <c r="CY54" s="11" t="n">
        <f aca="false" t="array" ref="CY54:CY54">IF(AND($CC$54&lt;&gt;$CC$57,$CC$54:$CC$56=$CC$54,$CD$54&gt;90,$CD$55:$CD$56&lt;90),1,0)</f>
        <v>0</v>
      </c>
      <c r="CZ54" s="11" t="n">
        <f aca="false" t="array" ref="CZ54:CZ54">IF(AND($CC$54:$CC$57=$CC$54,$CD$55:$CD$57&lt;90,$CD$54&lt;&gt;$CD$55),1,0)</f>
        <v>0</v>
      </c>
      <c r="DA54" s="11" t="n">
        <f aca="false" t="array" ref="DA54:DA54">IF(AND($CC$54:$CC$57=$CC$54,$CD$54:$CD$56&lt;90,$CD$54&lt;&gt;$CD$57),1,0)</f>
        <v>0</v>
      </c>
      <c r="DB54" s="11" t="n">
        <f aca="false" t="array" ref="DB54:DB54">IF(AND($CC$54:$CC$57=$CC$54,$CD$54:$CD$55&gt;90,$CD$56:$CD$57&lt;90,$CE$54:$CE$57=$CE$54,$CF$54&gt;$CF$55,$CF$54&gt;$CF$56,$CF$54&gt;$CF$57),1,0)</f>
        <v>0</v>
      </c>
      <c r="DC54" s="11" t="n">
        <f aca="false" t="array" ref="DC54:DC54">IF(AND($CC$54:$CC$57=$CC$54,$CD$54&gt;90,$CD$55:$CD$56&lt;90,$CD$57&gt;90,$CE$54:$CE$57=$CE$54,$CF$54&gt;$CF$55,$CF$54&gt;$CF$56,$CF$54&gt;$CF$57),1,0)</f>
        <v>0</v>
      </c>
      <c r="DD54" s="11" t="n">
        <f aca="false" t="array" ref="DD54:DD54">IF(AND($CC$54:$CC$57=$CC$54,$CD$54:$CD$55&lt;90,$CD$56:$CD$57&gt;90,$CE$54:$CE$57=$CE$54,$CF$54=$CF$55,$CF$54&gt;$CF$56,$CF$54&gt;$CF$57),1,0)</f>
        <v>0</v>
      </c>
      <c r="DE54" s="11" t="n">
        <f aca="false" t="array" ref="DE54:DE54">IF(AND($CC$54:$CC$57=$CC$54,$CD$54:$CD$55&gt;90,$CD$56:$CD$57&lt;90,$CE$54:$CE$57=$CE$54,$CF$54&gt;$CF$55,$CF$55:$CF$57=$CF$55),1,0)</f>
        <v>0</v>
      </c>
      <c r="DF54" s="11" t="n">
        <f aca="false" t="array" ref="DF54:DF54">IF(AND($CC$54:$CC$57=$CC$54,$CD$54:$CD$55&lt;90,$CD$56:$CD$57&gt;90,$CE$54:$CE$57=$CE$54,$CF$54:$CF$56=$CF$54,$CF$54&gt;$CF$57),1,0)</f>
        <v>0</v>
      </c>
      <c r="DG54" s="11" t="n">
        <f aca="false" t="array" ref="DG54:DG54">IF(AND($CC$54:$CC$57=$CC$54,$CD$54&gt;90,$CD$57&gt;90,$CD$55:$CD$56&lt;90,$CE$54:$CE$57=$CE$54,$CF$54&gt;$CF$55:$CF$57),1,0)</f>
        <v>0</v>
      </c>
      <c r="DH54" s="11"/>
      <c r="DI54" s="11"/>
      <c r="DJ54" s="11"/>
      <c r="DK54" s="11"/>
      <c r="DL54" s="11"/>
      <c r="DM54" s="11"/>
      <c r="DN54" s="11"/>
      <c r="DO54" s="11"/>
      <c r="DP54" s="11"/>
      <c r="DQ54" s="11"/>
      <c r="DR54" s="11"/>
      <c r="DS54" s="11"/>
      <c r="DT54" s="11"/>
      <c r="DU54" s="11"/>
      <c r="DV54" s="11"/>
      <c r="DW54" s="11"/>
      <c r="DX54" s="11"/>
      <c r="DY54" s="11"/>
      <c r="DZ54" s="11"/>
      <c r="EA54" s="11"/>
      <c r="EB54" s="11"/>
      <c r="EC54" s="10" t="n">
        <v>2</v>
      </c>
      <c r="ED54" s="10" t="n">
        <v>2</v>
      </c>
      <c r="EE54" s="10" t="n">
        <v>2</v>
      </c>
      <c r="EF54" s="10" t="n">
        <v>3</v>
      </c>
      <c r="EG54" s="10" t="n">
        <v>4</v>
      </c>
      <c r="EH54" s="10" t="n">
        <v>3</v>
      </c>
      <c r="EI54" s="10"/>
      <c r="EJ54" s="10"/>
      <c r="EK54" s="10"/>
      <c r="EL54" s="10"/>
      <c r="FH54" s="11"/>
      <c r="FI54" s="73"/>
      <c r="FJ54" s="11"/>
      <c r="FK54" s="73"/>
      <c r="FL54" s="11"/>
      <c r="FM54" s="73"/>
      <c r="FN54" s="11"/>
    </row>
    <row r="55" s="11" customFormat="true" ht="16.15" hidden="false" customHeight="true" outlineLevel="0" collapsed="false">
      <c r="A55" s="32" t="str">
        <f aca="true" t="array" ref="A55:A55">IF(ROWS(A$53:A55)&lt;=$C$52,INDEX(INDIRECT(A$52),SMALL(IF(Nivell=$B$52,ROW(Nivell)-ROW(Equipos!$C$2)+1),ROWS(B$52:B54))),"")</f>
        <v>Suiza</v>
      </c>
      <c r="B55" s="33"/>
      <c r="C55" s="75"/>
      <c r="D55" s="35"/>
      <c r="E55" s="293"/>
      <c r="F55" s="302" t="n">
        <f aca="false">Horarios!C55</f>
        <v>44893.7916666667</v>
      </c>
      <c r="G55" s="303" t="n">
        <f aca="false">Horarios!C55</f>
        <v>44893.7916666667</v>
      </c>
      <c r="H55" s="302" t="s">
        <v>74</v>
      </c>
      <c r="I55" s="304" t="str">
        <f aca="false">A53</f>
        <v>Brasil</v>
      </c>
      <c r="J55" s="305" t="str">
        <f aca="false">VLOOKUP(I55,Equipos!$H$2:$I$33,2,0)</f>
        <v>🇧🇷</v>
      </c>
      <c r="K55" s="306" t="n">
        <v>1</v>
      </c>
      <c r="L55" s="306" t="n">
        <v>0</v>
      </c>
      <c r="M55" s="307" t="str">
        <f aca="false">VLOOKUP(N55,Equipos!$H$2:$I$33,2,0)</f>
        <v>🇨🇭</v>
      </c>
      <c r="N55" s="308" t="str">
        <f aca="false">A55</f>
        <v>Suiza</v>
      </c>
      <c r="O55" s="44" t="n">
        <f aca="false">IF(NOT(OR(ISBLANK(K55),ISBLANK(L55))),1,0)</f>
        <v>1</v>
      </c>
      <c r="P55" s="45"/>
      <c r="Q55" s="317" t="n">
        <v>2</v>
      </c>
      <c r="R55" s="77" t="str">
        <f aca="false">VLOOKUP(Q55,$AG$54:$AI$57,3,0)</f>
        <v>Suiza</v>
      </c>
      <c r="S55" s="78" t="n">
        <f aca="false">VLOOKUP(R55,$AI$54:$AR$57,2,0)</f>
        <v>6</v>
      </c>
      <c r="T55" s="78" t="n">
        <f aca="false">VLOOKUP($R55,$AI$54:$AR$57,3,0)</f>
        <v>3</v>
      </c>
      <c r="U55" s="78" t="n">
        <f aca="false">VLOOKUP($R55,$AI$54:$AR$57,4,0)</f>
        <v>2</v>
      </c>
      <c r="V55" s="78" t="n">
        <f aca="false">VLOOKUP($R55,$AI$54:$AR$57,5,0)</f>
        <v>0</v>
      </c>
      <c r="W55" s="78" t="n">
        <f aca="false">VLOOKUP($R55,$AI$54:$AR$57,6,0)</f>
        <v>1</v>
      </c>
      <c r="X55" s="78" t="n">
        <f aca="false">VLOOKUP($R55,$AI$54:$AR$57,7,0)</f>
        <v>4</v>
      </c>
      <c r="Y55" s="78" t="n">
        <f aca="false">VLOOKUP($R55,$AI$54:$AR$57,8,0)</f>
        <v>3</v>
      </c>
      <c r="Z55" s="318" t="n">
        <f aca="false">VLOOKUP($R55,$AI$54:$AR$57,9,0)</f>
        <v>1</v>
      </c>
      <c r="AA55" s="67" t="n">
        <f aca="false">IF(SUM($AK$54:$AK$57)=12,MIN(ABS(BY54-BY55),ABS(BY55-BY56)),100)</f>
        <v>4000000.02000046</v>
      </c>
      <c r="AB55" s="68" t="str">
        <f aca="false">IF(AND(AA55&gt;=0,AA55&lt;90),VLOOKUP(Q55,$BU$54:$BV$57,2,0),"")</f>
        <v/>
      </c>
      <c r="AC55" s="69"/>
      <c r="AD55" s="70"/>
      <c r="AE55" s="71"/>
      <c r="AF55" s="24" t="n">
        <f aca="false">VLOOKUP($R55,$AI$54:$AR$57,10,0)</f>
        <v>6675210499.73</v>
      </c>
      <c r="AG55" s="11" t="n">
        <f aca="false">RANK(AU55,$AU$54:$AU$57)</f>
        <v>4</v>
      </c>
      <c r="AH55" s="11" t="n">
        <f aca="false">RANK(AR55,$AR$54:$AR$57)</f>
        <v>4</v>
      </c>
      <c r="AI55" s="10" t="str">
        <f aca="false">A54</f>
        <v>Serbia</v>
      </c>
      <c r="AJ55" s="11" t="n">
        <f aca="false">AL55*3+AM55*1+AN55*0</f>
        <v>1</v>
      </c>
      <c r="AK55" s="11" t="n">
        <f aca="false">COUNTIFS($I$4:$I$65,AI55,$K$4:$K$65,"&lt;&gt;",$L$4:$L$65,"&lt;&gt;")+COUNTIFS($N$4:$N$65,AI55,$L$4:$L$65,"&lt;&gt;",$K$4:$K$65,"&lt;&gt;")</f>
        <v>3</v>
      </c>
      <c r="AL55" s="11" t="n">
        <f aca="false" t="array" ref="AL55:AL55">SUM(($I$4:$I$65=AI55)*($K$4:$K$65&lt;&gt;"")*($L$4:$L$65&lt;&gt;"")*($K$4:$K$65&gt;$L$4:$L$65),($N$4:$N$65=AI55)*($K$4:$K$65&lt;&gt;"")*($L$4:$L$65&lt;&gt;"")*($K$4:$K$65&lt;$L$4:$L$65))</f>
        <v>0</v>
      </c>
      <c r="AM55" s="11" t="n">
        <f aca="false" t="array" ref="AM55:AM55">SUM(($I$4:$I$65=AI55)*($K$4:$K$65&lt;&gt;"")*($L$4:$L$65&lt;&gt;"")*($K$4:$K$65=$L$4:$L$65),($N$4:$N$65=AI55)*($K$4:$K$65&lt;&gt;"")*($L$4:$L$65&lt;&gt;"")*($K$4:$K$65=$L$4:$L$65))</f>
        <v>1</v>
      </c>
      <c r="AN55" s="11" t="n">
        <f aca="false" t="array" ref="AN55:AN55">SUM(($I$4:$I$65=AI55)*($L$4:$L$65&lt;&gt;"")*($K$4:$K$65&lt;&gt;"")*($K$4:$K$65&lt;$L$4:$L$65),($K$4:$K$65&lt;&gt;"")*($N$4:$N$65=AI55)*($L$4:$L$65&lt;&gt;"")*($K$4:$K$65&gt;$L$4:$L$65))</f>
        <v>2</v>
      </c>
      <c r="AO55" s="11" t="n">
        <f aca="false" t="array" ref="AO55:AO55">SUMIFS($K$4:$K$65,$I$4:$I$65,AI55,$K$4:$K$65,"&lt;&gt;",$L$4:$L$65,"&lt;&gt;")+SUMIFS($L$4:$L$65,$N$4:$N$65,AI55,$K$4:$K$65,"&lt;&gt;",$L$4:$L$65,"&lt;&gt;")</f>
        <v>5</v>
      </c>
      <c r="AP55" s="11" t="n">
        <f aca="false" t="array" ref="AP55:AP55">SUMIFS($K$4:$K$65,$N$4:$N$65,AI55,$K$4:$K$65,"&lt;&gt;",$L$4:$L$65,"&lt;&gt;")+SUMIFS($L$4:$L$65,$I$4:$I$65,AI55,$K$4:$K$65,"&lt;&gt;",$L$4:$L$65,"&lt;&gt;")</f>
        <v>8</v>
      </c>
      <c r="AQ55" s="11" t="n">
        <f aca="false">AO55-AP55</f>
        <v>-3</v>
      </c>
      <c r="AR55" s="11" t="n">
        <f aca="false">IF(AK55=0,-($AW$11*VLOOKUP(AI55,Tabla3[[NombreEquipo]:[Rank]],3,0)),AJ55*$AW$4+AQ55*$AW$5+AO55*$AW$6+BA55-($AW$11*VLOOKUP(AI55,Tabla3[[NombreEquipo]:[Rank]],3,0)/100))</f>
        <v>1101210499.74</v>
      </c>
      <c r="AS55" s="11" t="n">
        <f aca="false">AH55</f>
        <v>4</v>
      </c>
      <c r="AU55" s="11" t="n">
        <f aca="false">IFERROR(AR55-VLOOKUP(AI55,$AB$54:$AC$57,2,0),AR55)</f>
        <v>1101210499.74</v>
      </c>
      <c r="AW55" s="24"/>
      <c r="AY55" s="72" t="str">
        <f aca="false">AI55</f>
        <v>Serbia</v>
      </c>
      <c r="AZ55" s="11" t="n">
        <f aca="false">COUNTIF(AJ54:AJ57,AJ55)</f>
        <v>1</v>
      </c>
      <c r="BA55" s="11" t="n">
        <f aca="false">(BB55*$AW$9)+(BH55*$AW$8)+(BN55*$AW$7)</f>
        <v>210500</v>
      </c>
      <c r="BB55" s="73" t="n">
        <f aca="false">RANK(BC55,BC54:BC57,1)</f>
        <v>1</v>
      </c>
      <c r="BC55" s="73" t="n">
        <f aca="false">SUM(IF(AND(AJ55=AJ56,AQ55=AQ56,AO55=AO56),BF55,0),IF(AND(AJ55=AJ57,AQ55=AQ57,AO55=AO57),BG55,0),IF(AND(AJ55=AJ54,AQ55=AQ54,AO55=AO54),BD55,0))</f>
        <v>0</v>
      </c>
      <c r="BD55" s="73" t="n">
        <f aca="false" t="array" ref="BD55:BD55">SUMIFS($K$52:$K$57,$I$52:$I$57,$AY55,$K$52:$K$57,"&lt;&gt;",$L$52:$L$57,"&lt;&gt;",$N$52:$N$57,BD53)+SUMIFS($L$52:$L$57,$I$52:$I$57,BD53,$K$52:$K$57,"&lt;&gt;",$L$52:$L$57,"&lt;&gt;",$N$52:$N$57,$AY55)</f>
        <v>0</v>
      </c>
      <c r="BE55" s="73" t="n">
        <v>0</v>
      </c>
      <c r="BF55" s="73" t="n">
        <f aca="false" t="array" ref="BF55:BF55">SUMIFS($K$52:$K$57,$I$52:$I$57,$AY55,$K$52:$K$57,"&lt;&gt;",$L$52:$L$57,"&lt;&gt;",$N$52:$N$57,BF53)+SUMIFS($L$52:$L$57,$I$52:$I$57,BF53,$K$52:$K$57,"&lt;&gt;",$L$52:$L$57,"&lt;&gt;",$N$52:$N$57,$AY55)</f>
        <v>2</v>
      </c>
      <c r="BG55" s="73" t="n">
        <f aca="false" t="array" ref="BG55:BG55">SUMIFS($K$52:$K$57,$I$52:$I$57,$AY55,$K$52:$K$57,"&lt;&gt;",$L$52:$L$57,"&lt;&gt;",$N$52:$N$57,BG53)+SUMIFS($L$52:$L$57,$I$52:$I$57,BG53,$K$52:$K$57,"&lt;&gt;",$L$52:$L$57,"&lt;&gt;",$N$52:$N$57,$AY55)</f>
        <v>3</v>
      </c>
      <c r="BH55" s="73" t="n">
        <f aca="false">RANK(BI55,BI54:BI57,1)</f>
        <v>1</v>
      </c>
      <c r="BI55" s="73" t="n">
        <f aca="false">SUM(IF(AND(AJ55=AJ56,AQ55=AQ56,AO55=AO56),BL55,0),IF(AND(AJ55=AJ57,AQ55=AQ57,AO55=AO57),BM55,0),IF(AND(AJ55=AJ54,AQ55=AQ54,AO55=AO54),BJ55,0))</f>
        <v>0</v>
      </c>
      <c r="BJ55" s="73" t="n">
        <f aca="false">BD55-BE54</f>
        <v>-2</v>
      </c>
      <c r="BK55" s="73" t="n">
        <v>0</v>
      </c>
      <c r="BL55" s="73" t="n">
        <f aca="false">BF55-BE56</f>
        <v>-1</v>
      </c>
      <c r="BM55" s="73" t="n">
        <f aca="false">BG55-BE57</f>
        <v>0</v>
      </c>
      <c r="BN55" s="73" t="n">
        <f aca="false">RANK(BO55,BO54:BO57,1)</f>
        <v>1</v>
      </c>
      <c r="BO55" s="73" t="n">
        <f aca="false">SUM(IF(AND(AJ55=AJ56,AQ55=AQ56,AO55=AO56),BR55,0),IF(AND(AJ55=AJ57,AQ55=AQ57,AO55=AO57),BS55,0),IF(AND(AJ55=AJ54,AQ55=AQ54,AO55=AO54),BP55,0))</f>
        <v>0</v>
      </c>
      <c r="BP55" s="73" t="n">
        <f aca="false" t="array" ref="BP55:BP55">SUM((I$4:I$57=AY55)*(N$4:N$57=BP53)*(K$4:K$57&lt;&gt;"")*(L$4:L$57&lt;&gt;"")*(K$4:K$57&gt;L$4:L$57)*3,(N$4:N$57=AY55)*(I$4:I$57=BP53)*(K$4:K$57&lt;&gt;"")*(L$4:L$57&lt;&gt;"")*(K$4:K$57=L$4:L$57)*1,(N$4:N$57=AY55)*(I$4:I$57=BP53)*(K$4:K$57&lt;&gt;"")*(L$4:L$57&lt;&gt;"")*(K$4:K$57&lt;L$4:L$57)*3,(I$4:I$57=AY55)*(N$4:N$57=BP53)*(K$4:K$57&lt;&gt;"")*(L$4:L$57&lt;&gt;"")*(K$4:K$57=L$4:L$57)*1)</f>
        <v>0</v>
      </c>
      <c r="BQ55" s="73" t="n">
        <v>0</v>
      </c>
      <c r="BR55" s="73" t="n">
        <f aca="false" t="array" ref="BR55:BR55">SUM((I$4:I$57=AY55)*(N$4:N$57=BR53)*(K$4:K$57&lt;&gt;"")*(L$4:L$57&lt;&gt;"")*(K$4:K$57&gt;L$4:L$57)*3,(N$4:N$57=AY55)*(I$4:I$57=BR53)*(K$4:K$57&lt;&gt;"")*(L$4:L$57&lt;&gt;"")*(K$4:K$57=L$4:L$57)*1,(N$4:N$57=AY55)*(I$4:I$57=BR53)*(K$4:K$57&lt;&gt;"")*(L$4:L$57&lt;&gt;"")*(K$4:K$57&lt;L$4:L$57)*3,(I$4:I$57=AY55)*(N$4:N$57=BR53)*(K$4:K$57&lt;&gt;"")*(L$4:L$57&lt;&gt;"")*(K$4:K$57=L$4:L$57)*1)</f>
        <v>0</v>
      </c>
      <c r="BS55" s="73" t="n">
        <f aca="false" t="array" ref="BS55:BS55">SUM((I$4:I$57=AY55)*(N$4:N$57=BS53)*(K$4:K$57&lt;&gt;"")*(L$4:L$57&lt;&gt;"")*(K$4:K$57&gt;L$4:L$57)*3,(N$4:N$57=AY55)*(I$4:I$57=BS53)*(K$4:K$57&lt;&gt;"")*(L$4:L$57&lt;&gt;"")*(K$4:K$57=L$4:L$57)*1,(N$4:N$57=AY55)*(I$4:I$57=BS53)*(K$4:K$57&lt;&gt;"")*(L$4:L$57&lt;&gt;"")*(K$4:K$57&lt;L$4:L$57)*3,(I$4:I$57=AY55)*(N$4:N$57=BS53)*(K$4:K$57&lt;&gt;"")*(L$4:L$57&lt;&gt;"")*(K$4:K$57=L$4:L$57)*1)</f>
        <v>1</v>
      </c>
      <c r="BT55" s="10" t="n">
        <v>2</v>
      </c>
      <c r="BU55" s="10" t="n">
        <f aca="false">RANK(BW55,$BW$54:$BW$57)</f>
        <v>4</v>
      </c>
      <c r="BV55" s="10" t="str">
        <f aca="false">A54</f>
        <v>Serbia</v>
      </c>
      <c r="BW55" s="10" t="n">
        <f aca="false">IF(AK55=0,-($AW$11*VLOOKUP(AI55,Tabla3[[NombreEquipo]:[Rank]],3,0)),AJ55*$AW$4+BA55+AQ55*$AW$8+AO55*$AW$9+AL55*$AW$10-($AW$11*VLOOKUP(AI55,Tabla3[[NombreEquipo]:[Rank]],3,0)/100))</f>
        <v>1111182999.74</v>
      </c>
      <c r="BX55" s="10" t="str">
        <f aca="false">VLOOKUP(Q55,$AH$54:$AI$57,2,0)</f>
        <v>Suiza</v>
      </c>
      <c r="BY55" s="10" t="n">
        <f aca="false">VLOOKUP($BX55,$AI$54:$AR$57,10,0)</f>
        <v>6675210499.73</v>
      </c>
      <c r="BZ55" s="10"/>
      <c r="CA55" s="10" t="n">
        <v>2</v>
      </c>
      <c r="CB55" s="10" t="str">
        <f aca="false">VLOOKUP(CA55,$AH$54:$AI$57,2,0)</f>
        <v>Suiza</v>
      </c>
      <c r="CC55" s="10" t="n">
        <f aca="false">VLOOKUP(CB55,$AI$54:$AR$57,2,0)</f>
        <v>6</v>
      </c>
      <c r="CD55" s="74" t="n">
        <f aca="false">IF(SUM($AK$54:$AK$57)=12,MIN(ABS(BY54-BY55),ABS(BY55-BY56)),100)</f>
        <v>4000000.02000046</v>
      </c>
      <c r="CE55" s="10" t="n">
        <f aca="false">VLOOKUP($CB55,$AI$54:$AR$57,9,0)</f>
        <v>1</v>
      </c>
      <c r="CF55" s="10" t="n">
        <f aca="false">VLOOKUP($CB55,$AI$54:$AR$57,7,0)</f>
        <v>4</v>
      </c>
      <c r="CG55" s="10"/>
      <c r="CH55" s="10" t="n">
        <f aca="false" t="array" ref="CH55:CH55">IF($CI$54=$CL$53,$EC$53:$EC$56,IF($CI$54=$CM$53,$ED$53:$ED$55,IF(OR($CI$54=$CN$53,$CI$54=$CO$53),$EE$53:$EE$54,IF($CI$54=$CP$53,$EF$53:$EF$55,(IF($CI$54=$CQ$53,$EH$53:$EH$54,$EJ$53))))))</f>
        <v>2</v>
      </c>
      <c r="CK55" s="11" t="n">
        <v>2</v>
      </c>
      <c r="CL55" s="11" t="n">
        <f aca="false" t="array" ref="CL55:CL55">IF(AND($CC$54:$CC$57=$CC$55,$CD$54:$CD$57&lt;90,$AQ$54:$AQ$57=$AQ$55,$CF$54:$CF$57=$CF$55),1,0)</f>
        <v>0</v>
      </c>
      <c r="CM55" s="11" t="n">
        <f aca="false" t="array" ref="CM55:CM55">IF(AND($CC$54:$CC$56=$CC$55,$CD$54:$CD$56&lt;90,$CC$55&lt;&gt;$CC$57),1,0)</f>
        <v>0</v>
      </c>
      <c r="CN55" s="11" t="n">
        <f aca="false" t="array" ref="CN55:CN55">IF(AND($CC$54:$CC$55=$CC$54,$CD$54:$CD$55&lt;90,$CC$54&lt;&gt;$CC$56),1,0)</f>
        <v>0</v>
      </c>
      <c r="CO55" s="11" t="n">
        <f aca="false" t="array" ref="CO55:CO55">IF(AND($CC$54:$CC$55=$CC$54,$CD$54:$CD$55&lt;90,$CC$54&lt;&gt;$CC$56),1,0)</f>
        <v>0</v>
      </c>
      <c r="CP55" s="11" t="n">
        <f aca="false" t="array" ref="CP55:CP55">IF(AND($CC$55:$CC$57=$CC$55,$CD$55:$CD$57&lt;90,$CC$54&lt;&gt;$CC$55),1,0)</f>
        <v>0</v>
      </c>
      <c r="CQ55" s="11" t="n">
        <f aca="false" t="array" ref="CQ55:CQ55">IF(AND($CC$55:$CC$56=$CC$55,$CD$55:$CD$56&lt;90,$CC$55&lt;&gt;$CC$54,$CC$55&lt;&gt;$CC$57),1,0)</f>
        <v>0</v>
      </c>
      <c r="CR55" s="11" t="n">
        <f aca="false" t="array" ref="CR55:CR55">IF(AND($CC$55&lt;&gt;$CC$54,$CC$55&lt;&gt;$CC$56),1,0)</f>
        <v>0</v>
      </c>
      <c r="CS55" s="11" t="n">
        <f aca="false" t="array" ref="CS55:CS55">IF(AND($CC$55&lt;&gt;$CC$54,$CC$55&lt;&gt;$CC$56),1,0)</f>
        <v>0</v>
      </c>
      <c r="CT55" s="11" t="n">
        <f aca="false" t="array" ref="CT55:CT55">IF(AND($CC$54:$CC$57=$CC$54,$CD$54:$CD$57&lt;90,$CE$54:$CE$55=$CE$54,$CE$55&lt;&gt;$CE$56),1,0)</f>
        <v>0</v>
      </c>
      <c r="CU55" s="11" t="n">
        <f aca="false" t="array" ref="CU55:CU55">IF(AND($CC$54:$CC$57=$CC$54,$CD$54:$CD$57&lt;90,$CE$54:$CE$57=$CE$54,$CF$54=$CF$55,$CF$55&lt;&gt;$CF$56),1,0)</f>
        <v>0</v>
      </c>
      <c r="CV55" s="11" t="n">
        <f aca="false" t="array" ref="CV55:CV55">IF(AND($CC$54:$CC$56=$CC$55,$CD$54:$CD$55&lt;90,$CD$56&gt;90),1,0)</f>
        <v>0</v>
      </c>
      <c r="CW55" s="11" t="n">
        <f aca="false" t="array" ref="CW55:CW55">IF(AND($CC$55&lt;&gt;$CC$54,$CC$55:$CC$57=$CC$55,$CD$55&gt;90,$CD$56:$CD$57&lt;90),1,0)</f>
        <v>0</v>
      </c>
      <c r="CX55" s="11" t="n">
        <f aca="false" t="array" ref="CX55:CX55">IF(AND($CC$55&lt;&gt;$CC$54,$CC$55:$CC$57=$CC$55,$CD$57&gt;90,$CD$55:$CD$56&lt;90),1,0)</f>
        <v>0</v>
      </c>
      <c r="CY55" s="11" t="n">
        <f aca="false" t="array" ref="CY55:CY55">IF(AND($CC$55&lt;&gt;$CC$57,$CC$54:$CC$56=$CC$55,$CD$54&gt;90,$CD$55:$CD$56&lt;90),1,0)</f>
        <v>0</v>
      </c>
      <c r="CZ55" s="11" t="n">
        <f aca="false" t="array" ref="CZ55:CZ55">IF(AND($CC$54:$CC$57=$CC$55,$CD$55:$CD$57&lt;90,$CD$54&lt;&gt;$CD$55),1,0)</f>
        <v>0</v>
      </c>
      <c r="DA55" s="11" t="n">
        <f aca="false" t="array" ref="DA55:DA55">IF(AND($CC$54:$CC$57=$CC$55,$CD$54:$CD$56&lt;90,$CD$55&lt;&gt;$CD$57),1,0)</f>
        <v>0</v>
      </c>
      <c r="DB55" s="11" t="n">
        <f aca="false" t="array" ref="DB55:DB55">IF(AND($CC$54:$CC$57=$CC$55,$CD$54:$CD$55&gt;90,$CD$56:$CD$57&lt;90,$CE$54:$CE$57=$CE$55,$CF$54&gt;$CF$55,$CF$55&gt;$CF$56,$CF$55&gt;$CF$57),1,0)</f>
        <v>0</v>
      </c>
      <c r="DC55" s="11" t="n">
        <f aca="false" t="array" ref="DC55:DC55">IF(AND($CC$54:$CC$57=$CC$55,$CD$54&gt;90,$CD$55:$CD$56&lt;90,$CD$57&gt;90,$CE$54:$CE$57=$CE$55,$CF$54&gt;$CF$55,$CF$55=$CF$56,$CF$55&gt;$CF$57),1,0)</f>
        <v>0</v>
      </c>
      <c r="DD55" s="11" t="n">
        <f aca="false" t="array" ref="DD55:DD55">IF(AND($CC$54:$CC$57=$CC$55,$CD$54:$CD$55&lt;90,$CD$56:$CD$57&gt;90,$CE$54:$CE$57=$CE$55,$CF$54=$CF$55,$CF$55&gt;$CF$56,$CF$55&gt;$CF$57),1,0)</f>
        <v>0</v>
      </c>
      <c r="DE55" s="11" t="n">
        <f aca="false" t="array" ref="DE55:DE55">IF(AND($CC$54:$CC$57=$CC$55,$CD$54:$CD$55&gt;90,$CD$56:$CD$57&lt;90,$CE$54:$CE$57=$CE$55,$CF$54&gt;$CF$55,$CF$55:$CF$57=$CF$55),1,0)</f>
        <v>0</v>
      </c>
      <c r="DF55" s="11" t="n">
        <f aca="false" t="array" ref="DF55:DF55">IF(AND($CC$54:$CC$57=$CC$55,$CD$54:$CD$55&lt;90,$CD$56:$CD$57&gt;90,$CE$54:$CE$57=$CE$55,$CF$54:$CF$56=$CF$55,$CF$55&gt;$CF$57),1,0)</f>
        <v>0</v>
      </c>
      <c r="DG55" s="11" t="n">
        <f aca="false" t="array" ref="DG55:DG55">IF(AND($CC$54:$CC$57=$CC$55,$CD$54&gt;90,$CD$57&gt;90,$CD$55:$CD$56&lt;90,$CE$54:$CE$57=$CE$55,$CF$54&gt;$CF$55:$CF$57,$CF$55:$CF$57=$CF$55),1,0)</f>
        <v>0</v>
      </c>
      <c r="EC55" s="10" t="n">
        <v>3</v>
      </c>
      <c r="ED55" s="10" t="n">
        <v>3</v>
      </c>
      <c r="EE55" s="10"/>
      <c r="EF55" s="10" t="n">
        <v>4</v>
      </c>
      <c r="EG55" s="10"/>
      <c r="EH55" s="10"/>
      <c r="EI55" s="10"/>
      <c r="EJ55" s="10"/>
      <c r="EK55" s="10"/>
      <c r="EL55" s="10"/>
      <c r="FI55" s="73"/>
      <c r="FK55" s="73"/>
      <c r="FM55" s="73"/>
    </row>
    <row r="56" s="11" customFormat="true" ht="15" hidden="false" customHeight="false" outlineLevel="0" collapsed="false">
      <c r="A56" s="32" t="str">
        <f aca="true" t="array" ref="A56:A56">IF(ROWS(A$53:A56)&lt;=$C$52,INDEX(INDIRECT(A$52),SMALL(IF(Nivell=$B$52,ROW(Nivell)-ROW(Equipos!$C$2)+1),ROWS(B$52:B55))),"")</f>
        <v>Camerún</v>
      </c>
      <c r="B56" s="33"/>
      <c r="C56" s="75"/>
      <c r="D56" s="35"/>
      <c r="E56" s="293"/>
      <c r="F56" s="302" t="n">
        <f aca="false">Horarios!C56</f>
        <v>44897.9166666667</v>
      </c>
      <c r="G56" s="303" t="n">
        <f aca="false">Horarios!C56</f>
        <v>44897.9166666667</v>
      </c>
      <c r="H56" s="302" t="s">
        <v>77</v>
      </c>
      <c r="I56" s="304" t="str">
        <f aca="false">A54</f>
        <v>Serbia</v>
      </c>
      <c r="J56" s="305" t="str">
        <f aca="false">VLOOKUP(I56,Equipos!$H$2:$I$33,2,0)</f>
        <v>🇷🇸</v>
      </c>
      <c r="K56" s="306" t="n">
        <v>2</v>
      </c>
      <c r="L56" s="306" t="n">
        <v>3</v>
      </c>
      <c r="M56" s="307" t="str">
        <f aca="false">VLOOKUP(N56,Equipos!$H$2:$I$33,2,0)</f>
        <v>🇨🇭</v>
      </c>
      <c r="N56" s="308" t="str">
        <f aca="false">A55</f>
        <v>Suiza</v>
      </c>
      <c r="O56" s="44" t="n">
        <f aca="false">IF(NOT(OR(ISBLANK(K56),ISBLANK(L56))),1,0)</f>
        <v>1</v>
      </c>
      <c r="P56" s="45"/>
      <c r="Q56" s="317" t="n">
        <v>3</v>
      </c>
      <c r="R56" s="77" t="str">
        <f aca="false">VLOOKUP(Q56,$AG$54:$AI$57,3,0)</f>
        <v>Camerún</v>
      </c>
      <c r="S56" s="78" t="n">
        <f aca="false">VLOOKUP(R56,$AI$54:$AR$57,2,0)</f>
        <v>4</v>
      </c>
      <c r="T56" s="78" t="n">
        <f aca="false">VLOOKUP($R56,$AI$54:$AR$57,3,0)</f>
        <v>3</v>
      </c>
      <c r="U56" s="78" t="n">
        <f aca="false">VLOOKUP($R56,$AI$54:$AR$57,4,0)</f>
        <v>1</v>
      </c>
      <c r="V56" s="78" t="n">
        <f aca="false">VLOOKUP($R56,$AI$54:$AR$57,5,0)</f>
        <v>1</v>
      </c>
      <c r="W56" s="78" t="n">
        <f aca="false">VLOOKUP($R56,$AI$54:$AR$57,6,0)</f>
        <v>1</v>
      </c>
      <c r="X56" s="78" t="n">
        <f aca="false">VLOOKUP($R56,$AI$54:$AR$57,7,0)</f>
        <v>4</v>
      </c>
      <c r="Y56" s="78" t="n">
        <f aca="false">VLOOKUP($R56,$AI$54:$AR$57,8,0)</f>
        <v>4</v>
      </c>
      <c r="Z56" s="318" t="n">
        <f aca="false">VLOOKUP($R56,$AI$54:$AR$57,9,0)</f>
        <v>0</v>
      </c>
      <c r="AA56" s="67" t="n">
        <f aca="false">IF(SUM($AK$54:$AK$57)=12,MIN(ABS(BY55-BY56),ABS(BY56-BY57)),100)</f>
        <v>2227000000.01</v>
      </c>
      <c r="AB56" s="68" t="str">
        <f aca="false">IF(AND(AA56&gt;=0,AA56&lt;90),VLOOKUP(Q56,$BU$54:$BV$57,2,0),"")</f>
        <v/>
      </c>
      <c r="AC56" s="69"/>
      <c r="AD56" s="70"/>
      <c r="AE56" s="71"/>
      <c r="AF56" s="24" t="n">
        <f aca="false">VLOOKUP($R56,$AI$54:$AR$57,10,0)</f>
        <v>4448210499.72</v>
      </c>
      <c r="AG56" s="11" t="n">
        <f aca="false">RANK(AU56,$AU$54:$AU$57)</f>
        <v>2</v>
      </c>
      <c r="AH56" s="11" t="n">
        <f aca="false">RANK(AR56,$AR$54:$AR$57)</f>
        <v>2</v>
      </c>
      <c r="AI56" s="10" t="str">
        <f aca="false">A55</f>
        <v>Suiza</v>
      </c>
      <c r="AJ56" s="11" t="n">
        <f aca="false">AL56*3+AM56*1+AN56*0</f>
        <v>6</v>
      </c>
      <c r="AK56" s="11" t="n">
        <f aca="false">COUNTIFS($I$4:$I$65,AI56,$K$4:$K$65,"&lt;&gt;",$L$4:$L$65,"&lt;&gt;")+COUNTIFS($N$4:$N$65,AI56,$L$4:$L$65,"&lt;&gt;",$K$4:$K$65,"&lt;&gt;")</f>
        <v>3</v>
      </c>
      <c r="AL56" s="11" t="n">
        <f aca="false" t="array" ref="AL56:AL56">SUM(($I$4:$I$65=AI56)*($K$4:$K$65&lt;&gt;"")*($L$4:$L$65&lt;&gt;"")*($K$4:$K$65&gt;$L$4:$L$65),($N$4:$N$65=AI56)*($K$4:$K$65&lt;&gt;"")*($L$4:$L$65&lt;&gt;"")*($K$4:$K$65&lt;$L$4:$L$65))</f>
        <v>2</v>
      </c>
      <c r="AM56" s="11" t="n">
        <f aca="false" t="array" ref="AM56:AM56">SUM(($I$4:$I$65=AI56)*($K$4:$K$65&lt;&gt;"")*($L$4:$L$65&lt;&gt;"")*($K$4:$K$65=$L$4:$L$65),($N$4:$N$65=AI56)*($K$4:$K$65&lt;&gt;"")*($L$4:$L$65&lt;&gt;"")*($K$4:$K$65=$L$4:$L$65))</f>
        <v>0</v>
      </c>
      <c r="AN56" s="11" t="n">
        <f aca="false" t="array" ref="AN56:AN56">SUM(($I$4:$I$65=AI56)*($L$4:$L$65&lt;&gt;"")*($K$4:$K$65&lt;&gt;"")*($K$4:$K$65&lt;$L$4:$L$65),($K$4:$K$65&lt;&gt;"")*($N$4:$N$65=AI56)*($L$4:$L$65&lt;&gt;"")*($K$4:$K$65&gt;$L$4:$L$65))</f>
        <v>1</v>
      </c>
      <c r="AO56" s="11" t="n">
        <f aca="false" t="array" ref="AO56:AO56">SUMIFS($K$4:$K$65,$I$4:$I$65,AI56,$K$4:$K$65,"&lt;&gt;",$L$4:$L$65,"&lt;&gt;")+SUMIFS($L$4:$L$65,$N$4:$N$65,AI56,$K$4:$K$65,"&lt;&gt;",$L$4:$L$65,"&lt;&gt;")</f>
        <v>4</v>
      </c>
      <c r="AP56" s="11" t="n">
        <f aca="false" t="array" ref="AP56:AP56">SUMIFS($K$4:$K$65,$N$4:$N$65,AI56,$K$4:$K$65,"&lt;&gt;",$L$4:$L$65,"&lt;&gt;")+SUMIFS($L$4:$L$65,$I$4:$I$65,AI56,$K$4:$K$65,"&lt;&gt;",$L$4:$L$65,"&lt;&gt;")</f>
        <v>3</v>
      </c>
      <c r="AQ56" s="11" t="n">
        <f aca="false">AO56-AP56</f>
        <v>1</v>
      </c>
      <c r="AR56" s="11" t="n">
        <f aca="false">IF(AK56=0,-($AW$11*VLOOKUP(AI56,Tabla3[[NombreEquipo]:[Rank]],3,0)),AJ56*$AW$4+AQ56*$AW$5+AO56*$AW$6+BA56-($AW$11*VLOOKUP(AI56,Tabla3[[NombreEquipo]:[Rank]],3,0)/100))</f>
        <v>6675210499.73</v>
      </c>
      <c r="AS56" s="11" t="n">
        <f aca="false">AH56</f>
        <v>2</v>
      </c>
      <c r="AU56" s="11" t="n">
        <f aca="false">IFERROR(AR56-VLOOKUP(AI56,$AB$54:$AC$57,2,0),AR56)</f>
        <v>6675210499.73</v>
      </c>
      <c r="AW56" s="31"/>
      <c r="AY56" s="72" t="str">
        <f aca="false">AI56</f>
        <v>Suiza</v>
      </c>
      <c r="AZ56" s="11" t="n">
        <f aca="false">COUNTIF(AJ54:AJ57,AJ56)</f>
        <v>2</v>
      </c>
      <c r="BA56" s="11" t="n">
        <f aca="false">(BB56*$AW$9)+(BH56*$AW$8)+(BN56*$AW$7)</f>
        <v>210500</v>
      </c>
      <c r="BB56" s="73" t="n">
        <f aca="false">RANK(BC56,BC54:BC57,1)</f>
        <v>1</v>
      </c>
      <c r="BC56" s="73" t="n">
        <f aca="false">SUM(IF(AND(AJ56=AJ57,AQ56=AQ57,AO56=AO57),BG56,0),IF(AND(AJ56=AJ54,AQ56=AQ54,AO56=AO54),BD56,0),IF(AND(AJ56=AJ55,AQ56=AQ55,AO56=AO55),BE56,0))</f>
        <v>0</v>
      </c>
      <c r="BD56" s="73" t="n">
        <f aca="false" t="array" ref="BD56:BD56">SUMIFS($K$52:$K$57,$I$52:$I$57,$AY56,$K$52:$K$57,"&lt;&gt;",$L$52:$L$57,"&lt;&gt;",$N$52:$N$57,BD53)+SUMIFS($L$52:$L$57,$I$52:$I$57,BD53,$K$52:$K$57,"&lt;&gt;",$L$52:$L$57,"&lt;&gt;",$N$52:$N$57,$AY56)</f>
        <v>0</v>
      </c>
      <c r="BE56" s="73" t="n">
        <f aca="false" t="array" ref="BE56:BE56">SUMIFS($K$52:$K$57,$I$52:$I$57,$AY56,$K$52:$K$57,"&lt;&gt;",$L$52:$L$57,"&lt;&gt;",$N$52:$N$57,BE53)+SUMIFS($L$52:$L$57,$I$52:$I$57,BE53,$K$52:$K$57,"&lt;&gt;",$L$52:$L$57,"&lt;&gt;",$N$52:$N$57,$AY56)</f>
        <v>3</v>
      </c>
      <c r="BF56" s="73" t="n">
        <v>0</v>
      </c>
      <c r="BG56" s="73" t="n">
        <f aca="false" t="array" ref="BG56:BG56">SUMIFS($K$52:$K$57,$I$52:$I$57,$AY56,$K$52:$K$57,"&lt;&gt;",$L$52:$L$57,"&lt;&gt;",$N$52:$N$57,BG53)+SUMIFS($L$52:$L$57,$I$52:$I$57,BG53,$K$52:$K$57,"&lt;&gt;",$L$52:$L$57,"&lt;&gt;",$N$52:$N$57,$AY56)</f>
        <v>1</v>
      </c>
      <c r="BH56" s="73" t="n">
        <f aca="false">RANK(BI56,BI54:BI57,1)</f>
        <v>1</v>
      </c>
      <c r="BI56" s="73" t="n">
        <f aca="false">SUM(IF(AND(AJ56=AJ57,AQ56=AQ57,AO56=AO57),BM56,0),IF(AND(AJ56=AJ54,AQ56=AQ54,AO56=AO54),BJ56,0),IF(AND(AJ56=AJ55,AQ56=AQ55,AO56=AO55),BK56,0))</f>
        <v>0</v>
      </c>
      <c r="BJ56" s="73" t="n">
        <f aca="false">BD56-BF54</f>
        <v>-1</v>
      </c>
      <c r="BK56" s="73" t="n">
        <f aca="false">BE56-BF55</f>
        <v>1</v>
      </c>
      <c r="BL56" s="73" t="n">
        <v>0</v>
      </c>
      <c r="BM56" s="73" t="n">
        <f aca="false">BG56-BF57</f>
        <v>1</v>
      </c>
      <c r="BN56" s="73" t="n">
        <f aca="false">RANK(BO56,BO54:BO57,1)</f>
        <v>1</v>
      </c>
      <c r="BO56" s="73" t="n">
        <f aca="false">SUM(IF(AND(AJ56=AJ57,AQ56=AQ57,AO56=AO57),BS56,0),IF(AND(AJ56=AJ54,AQ56=AQ54,AO56=AO54),BP56,0),IF(AND(AJ56=AJ55,AQ56=AQ55,AO56=AO55),BQ56,0))</f>
        <v>0</v>
      </c>
      <c r="BP56" s="73" t="n">
        <f aca="false" t="array" ref="BP56:BP56">SUM((I$4:I$57=AY56)*(N$4:N$57=BP53)*(K$4:K$57&lt;&gt;"")*(L$4:L$57&lt;&gt;"")*(K$4:K$57&gt;L$4:L$57)*3,(N$4:N$57=AY56)*(I$4:I$57=BP53)*(K$4:K$57&lt;&gt;"")*(L$4:L$57&lt;&gt;"")*(K$4:K$57=L$4:L$57)*1,(N$4:N$57=AY56)*(I$4:I$57=BP53)*(K$4:K$57&lt;&gt;"")*(L$4:L$57&lt;&gt;"")*(K$4:K$57&lt;L$4:L$57)*3,(I$4:I$57=AY56)*(N$4:N$57=BP53)*(K$4:K$57&lt;&gt;"")*(L$4:L$57&lt;&gt;"")*(K$4:K$57=L$4:L$57)*1)</f>
        <v>0</v>
      </c>
      <c r="BQ56" s="73" t="n">
        <f aca="false" t="array" ref="BQ56:BQ56">SUM((I$4:I$57=AY56)*(N$4:N$57=BQ53)*(K$4:K$57&lt;&gt;"")*(L$4:L$57&lt;&gt;"")*(K$4:K$57&gt;L$4:L$57)*3,(N$4:N$57=AY56)*(I$4:I$57=BQ53)*(K$4:K$57&lt;&gt;"")*(L$4:L$57&lt;&gt;"")*(K$4:K$57=L$4:L$57)*1,(N$4:N$57=AY56)*(I$4:I$57=BQ53)*(K$4:K$57&lt;&gt;"")*(L$4:L$57&lt;&gt;"")*(K$4:K$57&lt;L$4:L$57)*3,(I$4:I$57=AY56)*(N$4:N$57=BQ53)*(K$4:K$57&lt;&gt;"")*(L$4:L$57&lt;&gt;"")*(K$4:K$57=L$4:L$57)*1)</f>
        <v>3</v>
      </c>
      <c r="BR56" s="73" t="n">
        <v>0</v>
      </c>
      <c r="BS56" s="73" t="n">
        <f aca="false" t="array" ref="BS56:BS56">SUM((I$4:I$57=AY56)*(N$4:N$57=BS53)*(K$4:K$57&lt;&gt;"")*(L$4:L$57&lt;&gt;"")*(K$4:K$57&gt;L$4:L$57)*3,(N$4:N$57=AY56)*(I$4:I$57=BS53)*(K$4:K$57&lt;&gt;"")*(L$4:L$57&lt;&gt;"")*(K$4:K$57=L$4:L$57)*1,(N$4:N$57=AY56)*(I$4:I$57=BS53)*(K$4:K$57&lt;&gt;"")*(L$4:L$57&lt;&gt;"")*(K$4:K$57&lt;L$4:L$57)*3,(I$4:I$57=AY56)*(N$4:N$57=BS53)*(K$4:K$57&lt;&gt;"")*(L$4:L$57&lt;&gt;"")*(K$4:K$57=L$4:L$57)*1)</f>
        <v>3</v>
      </c>
      <c r="BT56" s="10" t="n">
        <v>3</v>
      </c>
      <c r="BU56" s="10" t="n">
        <f aca="false">RANK(BW56,$BW$54:$BW$57)</f>
        <v>2</v>
      </c>
      <c r="BV56" s="10" t="str">
        <f aca="false">A55</f>
        <v>Suiza</v>
      </c>
      <c r="BW56" s="10" t="n">
        <f aca="false">IF(AK56=0,-($AW$11*VLOOKUP(AI56,Tabla3[[NombreEquipo]:[Rank]],3,0)),AJ56*$AW$4+BA56+AQ56*$AW$8+AO56*$AW$9+AL56*$AW$10-($AW$11*VLOOKUP(AI56,Tabla3[[NombreEquipo]:[Rank]],3,0)/100))</f>
        <v>6666222699.73</v>
      </c>
      <c r="BX56" s="10" t="str">
        <f aca="false">VLOOKUP(Q56,$AH$54:$AI$57,2,0)</f>
        <v>Camerún</v>
      </c>
      <c r="BY56" s="10" t="n">
        <f aca="false">VLOOKUP($BX56,$AI$54:$AR$57,10,0)</f>
        <v>4448210499.72</v>
      </c>
      <c r="BZ56" s="10"/>
      <c r="CA56" s="10" t="n">
        <v>3</v>
      </c>
      <c r="CB56" s="10" t="str">
        <f aca="false">VLOOKUP(CA56,$AH$54:$AI$57,2,0)</f>
        <v>Camerún</v>
      </c>
      <c r="CC56" s="10" t="n">
        <f aca="false">VLOOKUP(CB56,$AI$54:$AR$57,2,0)</f>
        <v>4</v>
      </c>
      <c r="CD56" s="74" t="n">
        <f aca="false">IF(SUM($AK$54:$AK$57)=12,MIN(ABS(BY55-BY56),ABS(BY56-BY57)),100)</f>
        <v>2227000000.01</v>
      </c>
      <c r="CE56" s="10" t="n">
        <f aca="false">VLOOKUP($CB56,$AI$54:$AR$57,9,0)</f>
        <v>0</v>
      </c>
      <c r="CF56" s="10" t="n">
        <f aca="false">VLOOKUP($CB56,$AI$54:$AR$57,7,0)</f>
        <v>4</v>
      </c>
      <c r="CG56" s="10"/>
      <c r="CH56" s="10" t="n">
        <f aca="false" t="array" ref="CH56:CH56">IF($CI$54=$CL$53,$EC$53:$EC$56,IF($CI$54=$CM$53,$ED$53:$ED$55,IF(OR($CI$54=$CN$53,$CI$54=$CR$53),$EG$53:$EG$54,IF($CI$54=$CP$53,$EF$53:$EF$55,(IF($CI$54=$CQ$53,$EH$53:$EH$54,$EK$53))))))</f>
        <v>3</v>
      </c>
      <c r="CK56" s="11" t="n">
        <v>3</v>
      </c>
      <c r="CL56" s="11" t="n">
        <f aca="false" t="array" ref="CL56:CL56">IF(AND($CC$54:$CC$57=$CC$56,$CD$54:$CD$57&lt;90,$AQ$54:$AQ$57=$AQ$56,$CF$54:$CF$57=$CF$56),1,0)</f>
        <v>0</v>
      </c>
      <c r="CM56" s="11" t="n">
        <f aca="false" t="array" ref="CM56:CM56">IF(AND($CC$54:$CC$56=$CC$56,$CD$54:$CD$56&lt;90,$CC$56&lt;&gt;$CC$57),1,0)</f>
        <v>0</v>
      </c>
      <c r="CN56" s="11" t="n">
        <f aca="false" t="array" ref="CN56:CN56">IF(AND($CC$56:$CC$57=$CC$56,$CD$56:$CD$57&lt;90,$CC$56&lt;&gt;$CC$55),1,0)</f>
        <v>0</v>
      </c>
      <c r="CO56" s="11" t="n">
        <f aca="false" t="array" ref="CO56:CO56">IF(OR(AND($CC$56&lt;&gt;$CC$55,$CC$56&lt;&gt;$CC$57),AND($CC$56&lt;&gt;$CC$55,$CC$56=$CC$57,$CD$56&gt;90,$CD$57&gt;90)),1,0)</f>
        <v>1</v>
      </c>
      <c r="CP56" s="11" t="n">
        <f aca="false" t="array" ref="CP56:CP56">IF(AND($CC$55:$CC$57=$CC$55,$CD$55:$CD$57&lt;90,$CC$54&lt;&gt;$CC$56),1,0)</f>
        <v>0</v>
      </c>
      <c r="CQ56" s="11" t="n">
        <f aca="false" t="array" ref="CQ56:CQ56">IF(AND($CC$55:$CC$56=$CC$56,$CD$55:$CD$56&lt;90,$CC$56&lt;&gt;$CC$54,$CC$56&lt;&gt;$CC$57),1,0)</f>
        <v>0</v>
      </c>
      <c r="CR56" s="11" t="n">
        <f aca="false" t="array" ref="CR56:CR56">IF(AND($CC$56:$CC$57=$CC$56,$CD$56:$CD$57&lt;90,$CC$56&lt;&gt;$CC$55),1,0)</f>
        <v>0</v>
      </c>
      <c r="CS56" s="11" t="n">
        <f aca="false" t="array" ref="CS56:CS56">IF(AND($CC$56&lt;&gt;$CC$55,$CC$56&lt;&gt;$CC$57),1,0)</f>
        <v>1</v>
      </c>
      <c r="CT56" s="11" t="n">
        <f aca="false" t="array" ref="CT56:CT56">IF(AND($CC$54:$CC$57=$CC$54,$CD$54:$CD$57&lt;90,$CE$56:$CE$57=$CE$56,$CE$55&lt;&gt;$CE$56),1,0)</f>
        <v>0</v>
      </c>
      <c r="CU56" s="11" t="n">
        <f aca="false" t="array" ref="CU56:CU56">IF(AND($CC$54:$CC$57=$CC$54,$CD$54:$CD$57&lt;90,$CE$54:$CE$57=$CE$54,$CF$56=$CF$57,$CF$55&lt;&gt;$CF$56),1,0)</f>
        <v>0</v>
      </c>
      <c r="CV56" s="11" t="n">
        <f aca="false" t="array" ref="CV56:CV56">IF(AND($CC$54:$CC$56=$CC$56,$CD$54:$CD$55&lt;90,$CD$56&gt;90),1,0)</f>
        <v>0</v>
      </c>
      <c r="CW56" s="11" t="n">
        <f aca="false" t="array" ref="CW56:CW56">IF(AND($CC$55&lt;&gt;$CC$54,$CC$55:$CC$57=$CC$56,$CD$55&gt;90,$CD$56:$CD$57&lt;90),1,0)</f>
        <v>0</v>
      </c>
      <c r="CX56" s="11" t="n">
        <f aca="false" t="array" ref="CX56:CX56">IF(AND($CC$55&lt;&gt;$CC$54,$CC$55:$CC$57=$CC$55,$CD$57&gt;90,$CD$55:$CD$56&lt;90),1,0)</f>
        <v>0</v>
      </c>
      <c r="CY56" s="11" t="n">
        <f aca="false" t="array" ref="CY56:CY56">IF(AND($CC$56&lt;&gt;$CC$57,$CC$54:$CC$56=$CC$56,$CD$54&gt;90,$CD$55:$CD$56&lt;90),1,0)</f>
        <v>0</v>
      </c>
      <c r="CZ56" s="11" t="n">
        <f aca="false" t="array" ref="CZ56:CZ56">IF(AND($CC$54:$CC$57=$CC$55,$CD$55:$CD$57&lt;90,$CD$54&lt;&gt;$CD$56),1,0)</f>
        <v>0</v>
      </c>
      <c r="DA56" s="11" t="n">
        <f aca="false" t="array" ref="DA56:DA56">IF(AND($CC$54:$CC$57=$CC$56,$CD$54:$CD$56&lt;90,$CD$56&lt;&gt;$CD$57),1,0)</f>
        <v>0</v>
      </c>
      <c r="DB56" s="11" t="n">
        <f aca="false" t="array" ref="DB56:DB56">IF(AND($CC$54:$CC$57=$CC$56,$CD$54:$CD$55&gt;90,$CD$56:$CD$57&lt;90,$CE$54:$CE$57=$CE$56,$CF$54&gt;$CF$55,$CF$55&gt;$CF$56,$CF$56=$CF$57),1,0)</f>
        <v>0</v>
      </c>
      <c r="DC56" s="11" t="n">
        <f aca="false" t="array" ref="DC56:DC56">IF(AND($CC$54:$CC$57=$CC$56,$CD$54&gt;90,$CD$55:$CD$56&lt;90,$CD$57&gt;90,$CE$54:$CE$57=$CE$56,$CF$54&gt;$CF$55,$CF$55=$CF$56,$CF$56&gt;$CF$57),1,0)</f>
        <v>0</v>
      </c>
      <c r="DD56" s="11" t="n">
        <f aca="false" t="array" ref="DD56:DD56">IF(AND($CC$54:$CC$57=$CC$56,$CD$54:$CD$55&lt;90,$CD$56:$CD$57&gt;90,$CE$54:$CE$57=$CE$56,$CF$54=$CF$55,$CF$55&gt;$CF$56,$CF$56&gt;$CF$57),1,0)</f>
        <v>0</v>
      </c>
      <c r="DE56" s="11" t="n">
        <f aca="false" t="array" ref="DE56:DE56">IF(AND($CC$54:$CC$57=$CC$56,$CD$54:$CD$55&gt;90,$CD$56:$CD$57&lt;90,$CE$54:$CE$57=$CE$55,$CF$54&gt;$CF$56,$CF$55:$CF$57=$CF$56),1,0)</f>
        <v>0</v>
      </c>
      <c r="DF56" s="11" t="n">
        <f aca="false" t="array" ref="DF56:DF56">IF(AND($CC$54:$CC$57=$CC$56,$CD$54:$CD$55&lt;90,$CD$56:$CD$57&gt;90,$CE$54:$CE$57=$CE$56,$CF$54:$CF$56=$CF$56,$CF$56&gt;$CF$57),1,0)</f>
        <v>0</v>
      </c>
      <c r="DG56" s="11" t="n">
        <f aca="false" t="array" ref="DG56:DG56">IF(AND($CC$54:$CC$57=$CC$56,$CD$54&gt;90,$CD$57&gt;90,$CD$55:$CD$56&lt;90,$CE$54:$CE$57=$CE$56,$CF$54&gt;$CF$55:$CF$57,$CF$55:$CF$57=$CF$56),1,0)</f>
        <v>0</v>
      </c>
      <c r="EC56" s="10" t="n">
        <v>4</v>
      </c>
      <c r="ED56" s="10"/>
      <c r="EE56" s="10"/>
      <c r="EF56" s="10"/>
      <c r="EG56" s="10"/>
      <c r="EH56" s="10"/>
      <c r="EI56" s="10"/>
      <c r="EJ56" s="10"/>
      <c r="EK56" s="10"/>
      <c r="EL56" s="10"/>
      <c r="FI56" s="73"/>
      <c r="FK56" s="73"/>
      <c r="FM56" s="73"/>
    </row>
    <row r="57" s="11" customFormat="true" ht="15.75" hidden="false" customHeight="false" outlineLevel="0" collapsed="false">
      <c r="A57" s="12"/>
      <c r="B57" s="12"/>
      <c r="C57" s="12"/>
      <c r="D57" s="35"/>
      <c r="E57" s="293"/>
      <c r="F57" s="319" t="n">
        <f aca="false">Horarios!C57</f>
        <v>44897.9166666667</v>
      </c>
      <c r="G57" s="320" t="n">
        <f aca="false">Horarios!C57</f>
        <v>44897.9166666667</v>
      </c>
      <c r="H57" s="319" t="s">
        <v>77</v>
      </c>
      <c r="I57" s="321" t="str">
        <f aca="false">A56</f>
        <v>Camerún</v>
      </c>
      <c r="J57" s="322" t="str">
        <f aca="false">VLOOKUP(I57,Equipos!$H$2:$I$33,2,0)</f>
        <v>🇨🇲</v>
      </c>
      <c r="K57" s="323" t="n">
        <v>1</v>
      </c>
      <c r="L57" s="323" t="n">
        <v>0</v>
      </c>
      <c r="M57" s="324" t="str">
        <f aca="false">VLOOKUP(N57,Equipos!$H$2:$I$33,2,0)</f>
        <v>🇧🇷</v>
      </c>
      <c r="N57" s="325" t="str">
        <f aca="false">A53</f>
        <v>Brasil</v>
      </c>
      <c r="O57" s="44" t="n">
        <f aca="false">IF(NOT(OR(ISBLANK(K57),ISBLANK(L57))),1,0)</f>
        <v>1</v>
      </c>
      <c r="P57" s="45"/>
      <c r="Q57" s="326" t="n">
        <v>4</v>
      </c>
      <c r="R57" s="327" t="str">
        <f aca="false">VLOOKUP(Q57,$AG$54:$AI$57,3,0)</f>
        <v>Serbia</v>
      </c>
      <c r="S57" s="328" t="n">
        <f aca="false">VLOOKUP(R57,$AI$54:$AR$57,2,0)</f>
        <v>1</v>
      </c>
      <c r="T57" s="328" t="n">
        <f aca="false">VLOOKUP($R57,$AI$54:$AR$57,3,0)</f>
        <v>3</v>
      </c>
      <c r="U57" s="328" t="n">
        <f aca="false">VLOOKUP($R57,$AI$54:$AR$57,4,0)</f>
        <v>0</v>
      </c>
      <c r="V57" s="328" t="n">
        <f aca="false">VLOOKUP($R57,$AI$54:$AR$57,5,0)</f>
        <v>1</v>
      </c>
      <c r="W57" s="328" t="n">
        <f aca="false">VLOOKUP($R57,$AI$54:$AR$57,6,0)</f>
        <v>2</v>
      </c>
      <c r="X57" s="328" t="n">
        <f aca="false">VLOOKUP($R57,$AI$54:$AR$57,7,0)</f>
        <v>5</v>
      </c>
      <c r="Y57" s="328" t="n">
        <f aca="false">VLOOKUP($R57,$AI$54:$AR$57,8,0)</f>
        <v>8</v>
      </c>
      <c r="Z57" s="329" t="n">
        <f aca="false">VLOOKUP($R57,$AI$54:$AR$57,9,0)</f>
        <v>-3</v>
      </c>
      <c r="AA57" s="67" t="n">
        <f aca="false">IF(SUM($AK$54:$AK$57)=12,MIN(ABS(BY56-BY57),ABS(BY57-BY58)),100)</f>
        <v>1101210499.74</v>
      </c>
      <c r="AB57" s="68" t="str">
        <f aca="false">IF(AND(AA57&gt;=0,AA57&lt;90),VLOOKUP(Q57,$BU$54:$BV$57,2,0),"")</f>
        <v/>
      </c>
      <c r="AC57" s="69"/>
      <c r="AD57" s="70"/>
      <c r="AE57" s="71"/>
      <c r="AF57" s="24" t="n">
        <f aca="false">VLOOKUP($R57,$AI$54:$AR$57,10,0)</f>
        <v>1101210499.74</v>
      </c>
      <c r="AG57" s="11" t="n">
        <f aca="false">RANK(AU57,$AU$54:$AU$57)</f>
        <v>3</v>
      </c>
      <c r="AH57" s="11" t="n">
        <f aca="false">RANK(AR57,$AR$54:$AR$57)</f>
        <v>3</v>
      </c>
      <c r="AI57" s="10" t="str">
        <f aca="false">A56</f>
        <v>Camerún</v>
      </c>
      <c r="AJ57" s="11" t="n">
        <f aca="false">AL57*3+AM57*1+AN57*0</f>
        <v>4</v>
      </c>
      <c r="AK57" s="11" t="n">
        <f aca="false">COUNTIFS($I$4:$I$65,AI57,$K$4:$K$65,"&lt;&gt;",$L$4:$L$65,"&lt;&gt;")+COUNTIFS($N$4:$N$65,AI57,$L$4:$L$65,"&lt;&gt;",$K$4:$K$65,"&lt;&gt;")</f>
        <v>3</v>
      </c>
      <c r="AL57" s="11" t="n">
        <f aca="false" t="array" ref="AL57:AL57">SUM(($I$4:$I$65=AI57)*($K$4:$K$65&lt;&gt;"")*($L$4:$L$65&lt;&gt;"")*($K$4:$K$65&gt;$L$4:$L$65),($N$4:$N$65=AI57)*($K$4:$K$65&lt;&gt;"")*($L$4:$L$65&lt;&gt;"")*($K$4:$K$65&lt;$L$4:$L$65))</f>
        <v>1</v>
      </c>
      <c r="AM57" s="11" t="n">
        <f aca="false" t="array" ref="AM57:AM57">SUM(($I$4:$I$65=AI57)*($K$4:$K$65&lt;&gt;"")*($L$4:$L$65&lt;&gt;"")*($K$4:$K$65=$L$4:$L$65),($N$4:$N$65=AI57)*($K$4:$K$65&lt;&gt;"")*($L$4:$L$65&lt;&gt;"")*($K$4:$K$65=$L$4:$L$65))</f>
        <v>1</v>
      </c>
      <c r="AN57" s="11" t="n">
        <f aca="false" t="array" ref="AN57:AN57">SUM(($I$4:$I$65=AI57)*($L$4:$L$65&lt;&gt;"")*($K$4:$K$65&lt;&gt;"")*($K$4:$K$65&lt;$L$4:$L$65),($K$4:$K$65&lt;&gt;"")*($N$4:$N$65=AI57)*($L$4:$L$65&lt;&gt;"")*($K$4:$K$65&gt;$L$4:$L$65))</f>
        <v>1</v>
      </c>
      <c r="AO57" s="11" t="n">
        <f aca="false" t="array" ref="AO57:AO57">SUMIFS($K$4:$K$65,$I$4:$I$65,AI57,$K$4:$K$65,"&lt;&gt;",$L$4:$L$65,"&lt;&gt;")+SUMIFS($L$4:$L$65,$N$4:$N$65,AI57,$K$4:$K$65,"&lt;&gt;",$L$4:$L$65,"&lt;&gt;")</f>
        <v>4</v>
      </c>
      <c r="AP57" s="11" t="n">
        <f aca="false" t="array" ref="AP57:AP57">SUMIFS($K$4:$K$65,$N$4:$N$65,AI57,$K$4:$K$65,"&lt;&gt;",$L$4:$L$65,"&lt;&gt;")+SUMIFS($L$4:$L$65,$I$4:$I$65,AI57,$K$4:$K$65,"&lt;&gt;",$L$4:$L$65,"&lt;&gt;")</f>
        <v>4</v>
      </c>
      <c r="AQ57" s="11" t="n">
        <f aca="false">AO57-AP57</f>
        <v>0</v>
      </c>
      <c r="AR57" s="11" t="n">
        <f aca="false">IF(AK57=0,-($AW$11*VLOOKUP(AI57,Tabla3[[NombreEquipo]:[Rank]],3,0)),AJ57*$AW$4+AQ57*$AW$5+AO57*$AW$6+BA57-($AW$11*VLOOKUP(AI57,Tabla3[[NombreEquipo]:[Rank]],3,0)/100))</f>
        <v>4448210499.72</v>
      </c>
      <c r="AS57" s="11" t="n">
        <f aca="false">AH57</f>
        <v>3</v>
      </c>
      <c r="AU57" s="11" t="n">
        <f aca="false">IFERROR(AR57-VLOOKUP(AI57,$AB$54:$AC$57,2,0),AR57)</f>
        <v>4448210499.72</v>
      </c>
      <c r="AW57" s="31"/>
      <c r="AY57" s="72" t="str">
        <f aca="false">AI57</f>
        <v>Camerún</v>
      </c>
      <c r="AZ57" s="11" t="n">
        <f aca="false">COUNTIF(AJ54:AJ57,AJ57)</f>
        <v>1</v>
      </c>
      <c r="BA57" s="11" t="n">
        <f aca="false">(BB57*$AW$9)+(BH57*$AW$8)+(BN57*$AW$7)</f>
        <v>210500</v>
      </c>
      <c r="BB57" s="73" t="n">
        <f aca="false">RANK(BC57,BC54:BC57,1)</f>
        <v>1</v>
      </c>
      <c r="BC57" s="73" t="n">
        <f aca="false">SUM(IF(AND(AJ57=AJ54,AQ57=AQ54,AO57=AO54),BD57,0),IF(AND(AJ57=AJ55,AQ57=AQ55,AO57=AO55),BE57,0),IF(AND(AJ57=AJ56,AQ57=AQ56,AO57=AO56),BF57,0))</f>
        <v>0</v>
      </c>
      <c r="BD57" s="73" t="n">
        <f aca="false" t="array" ref="BD57:BD57">SUMIFS($K$52:$K$57,$I$52:$I$57,$AY57,$K$52:$K$57,"&lt;&gt;",$L$52:$L$57,"&lt;&gt;",$N$52:$N$57,BD53)+SUMIFS($L$52:$L$57,$I$52:$I$57,BD53,$K$52:$K$57,"&lt;&gt;",$L$52:$L$57,"&lt;&gt;",$N$52:$N$57,$AY57)</f>
        <v>1</v>
      </c>
      <c r="BE57" s="73" t="n">
        <f aca="false" t="array" ref="BE57:BE57">SUMIFS($K$52:$K$57,$I$52:$I$57,$AY57,$K$52:$K$57,"&lt;&gt;",$L$52:$L$57,"&lt;&gt;",$N$52:$N$57,BE53)+SUMIFS($L$52:$L$57,$I$52:$I$57,BE53,$K$52:$K$57,"&lt;&gt;",$L$52:$L$57,"&lt;&gt;",$N$52:$N$57,$AY57)</f>
        <v>3</v>
      </c>
      <c r="BF57" s="73" t="n">
        <f aca="false" t="array" ref="BF57:BF57">SUMIFS($K$52:$K$57,$I$52:$I$57,$AY57,$K$52:$K$57,"&lt;&gt;",$L$52:$L$57,"&lt;&gt;",$N$52:$N$57,BF53)+SUMIFS($L$52:$L$57,$I$52:$I$57,BF53,$K$52:$K$57,"&lt;&gt;",$L$52:$L$57,"&lt;&gt;",$N$52:$N$57,$AY57)</f>
        <v>0</v>
      </c>
      <c r="BG57" s="73" t="n">
        <v>0</v>
      </c>
      <c r="BH57" s="73" t="n">
        <f aca="false">RANK(BI57,BI54:BI57,1)</f>
        <v>1</v>
      </c>
      <c r="BI57" s="73" t="n">
        <f aca="false">SUM(IF(AND(AJ57=AJ54,AQ57=AQ54,AO57=AO54),BJ57,0),IF(AND(AJ57=AJ55,AQ57=AQ55,AO57=AO55),BK57,0),IF(AND(AJ57=AJ56,AQ57=AQ56,AO57=AO56),BL57,0))</f>
        <v>0</v>
      </c>
      <c r="BJ57" s="73" t="n">
        <f aca="false">BD57-BG54</f>
        <v>1</v>
      </c>
      <c r="BK57" s="73" t="n">
        <f aca="false">BE57-BG55</f>
        <v>0</v>
      </c>
      <c r="BL57" s="73" t="n">
        <f aca="false">BF57-BG56</f>
        <v>-1</v>
      </c>
      <c r="BM57" s="73" t="n">
        <v>0</v>
      </c>
      <c r="BN57" s="73" t="n">
        <f aca="false">RANK(BO57,BO54:BO57,1)</f>
        <v>1</v>
      </c>
      <c r="BO57" s="73" t="n">
        <f aca="false">SUM(IF(AND(AJ57=AJ54,AQ57=AQ54,AO57=AO54),BP57,0),IF(AND(AJ57=AJ55,AQ57=AQ55,AO57=AO55),BQ57,0),IF(AND(AJ57=AJ56,AQ57=AQ56,AO57=AO56),BR57,0))</f>
        <v>0</v>
      </c>
      <c r="BP57" s="73" t="n">
        <f aca="false" t="array" ref="BP57:BP57">SUM((I$4:I$57=AY57)*(N$4:N$57=BP53)*(K$4:K$57&lt;&gt;"")*(L$4:L$57&lt;&gt;"")*(K$4:K$57&gt;L$4:L$57)*3,(N$4:N$57=AY57)*(I$4:I$57=BP53)*(K$4:K$57&lt;&gt;"")*(L$4:L$57&lt;&gt;"")*(K$4:K$57=L$4:L$57)*1,(N$4:N$57=AY57)*(I$4:I$57=BP53)*(K$4:K$57&lt;&gt;"")*(L$4:L$57&lt;&gt;"")*(K$4:K$57&lt;L$4:L$57)*3,(I$4:I$57=AY57)*(N$4:N$57=BP53)*(K$4:K$57&lt;&gt;"")*(L$4:L$57&lt;&gt;"")*(K$4:K$57=L$4:L$57)*1)</f>
        <v>3</v>
      </c>
      <c r="BQ57" s="73" t="n">
        <f aca="false" t="array" ref="BQ57:BQ57">SUM((I$4:I$57=AY57)*(N$4:N$57=BQ53)*(K$4:K$57&lt;&gt;"")*(L$4:L$57&lt;&gt;"")*(K$4:K$57&gt;L$4:L$57)*3,(N$4:N$57=AY57)*(I$4:I$57=BQ53)*(K$4:K$57&lt;&gt;"")*(L$4:L$57&lt;&gt;"")*(K$4:K$57=L$4:L$57)*1,(N$4:N$57=AY57)*(I$4:I$57=BQ53)*(K$4:K$57&lt;&gt;"")*(L$4:L$57&lt;&gt;"")*(K$4:K$57&lt;L$4:L$57)*3,(I$4:I$57=AY57)*(N$4:N$57=BQ53)*(K$4:K$57&lt;&gt;"")*(L$4:L$57&lt;&gt;"")*(K$4:K$57=L$4:L$57)*1)</f>
        <v>1</v>
      </c>
      <c r="BR57" s="73" t="n">
        <f aca="false" t="array" ref="BR57:BR57">SUM((I$4:I$57=AY57)*(N$4:N$57=BR53)*(K$4:K$57&lt;&gt;"")*(L$4:L$57&lt;&gt;"")*(K$4:K$57&gt;L$4:L$57)*3,(N$4:N$57=AY57)*(I$4:I$57=BR53)*(K$4:K$57&lt;&gt;"")*(L$4:L$57&lt;&gt;"")*(K$4:K$57=L$4:L$57)*1,(N$4:N$57=AY57)*(I$4:I$57=BR53)*(K$4:K$57&lt;&gt;"")*(L$4:L$57&lt;&gt;"")*(K$4:K$57&lt;L$4:L$57)*3,(I$4:I$57=AY57)*(N$4:N$57=BR53)*(K$4:K$57&lt;&gt;"")*(L$4:L$57&lt;&gt;"")*(K$4:K$57=L$4:L$57)*1)</f>
        <v>0</v>
      </c>
      <c r="BS57" s="73" t="n">
        <v>0</v>
      </c>
      <c r="BT57" s="10" t="n">
        <v>4</v>
      </c>
      <c r="BU57" s="10" t="n">
        <f aca="false">RANK(BW57,$BW$54:$BW$57)</f>
        <v>3</v>
      </c>
      <c r="BV57" s="10" t="str">
        <f aca="false">A56</f>
        <v>Camerún</v>
      </c>
      <c r="BW57" s="10" t="n">
        <f aca="false">IF(AK57=0,-($AW$11*VLOOKUP(AI57,Tabla3[[NombreEquipo]:[Rank]],3,0)),AJ57*$AW$4+BA57+AQ57*$AW$8+AO57*$AW$9+AL57*$AW$10-($AW$11*VLOOKUP(AI57,Tabla3[[NombreEquipo]:[Rank]],3,0)/100))</f>
        <v>4444212599.72</v>
      </c>
      <c r="BX57" s="10" t="str">
        <f aca="false">VLOOKUP(Q57,$AH$54:$AI$57,2,0)</f>
        <v>Serbia</v>
      </c>
      <c r="BY57" s="10" t="n">
        <f aca="false">VLOOKUP($BX57,$AI$54:$AR$57,10,0)</f>
        <v>1101210499.74</v>
      </c>
      <c r="BZ57" s="10"/>
      <c r="CA57" s="10" t="n">
        <v>4</v>
      </c>
      <c r="CB57" s="10" t="str">
        <f aca="false">VLOOKUP(CA57,$AH$54:$AI$57,2,0)</f>
        <v>Serbia</v>
      </c>
      <c r="CC57" s="10" t="n">
        <f aca="false">VLOOKUP(CB57,$AI$54:$AR$57,2,0)</f>
        <v>1</v>
      </c>
      <c r="CD57" s="74" t="n">
        <f aca="false">IF(SUM($AK$54:$AK$57)=12,MIN(ABS(BY56-BY57),ABS(BY57-BY58)),100)</f>
        <v>1101210499.74</v>
      </c>
      <c r="CE57" s="10" t="n">
        <f aca="false">VLOOKUP($CB57,$AI$54:$AR$57,9,0)</f>
        <v>-3</v>
      </c>
      <c r="CF57" s="10" t="n">
        <f aca="false">VLOOKUP($CB57,$AI$54:$AR$57,7,0)</f>
        <v>5</v>
      </c>
      <c r="CG57" s="10"/>
      <c r="CH57" s="10" t="n">
        <f aca="false" t="array" ref="CH57:CH57">IF($CI$54=$CL$53,$EC$53:$EC$56,IF(OR($CI$54=$CN$53,$CI$54=$CR$53),$EG$53:$EG$54,IF($CI$54=$CP$53,$EF$53:$EF$55,$EL$53)))</f>
        <v>4</v>
      </c>
      <c r="CK57" s="11" t="n">
        <v>4</v>
      </c>
      <c r="CL57" s="11" t="n">
        <f aca="false" t="array" ref="CL57:CL57">IF(AND($CC$54:$CC$57=$CC$57,$CD$54:$CD$57&lt;90,$AQ$54:$AQ$57=$AQ$57,$CF$54:$CF$57=$CF$57),1,0)</f>
        <v>0</v>
      </c>
      <c r="CM57" s="11" t="n">
        <f aca="false" t="array" ref="CM57:CM57">IF(AND($CC$54:$CC$56=$CC$54,$CD$54:$CD$56&lt;90,$CD$57&gt;90,$CC$54&lt;&gt;$CC$57),1,0)</f>
        <v>0</v>
      </c>
      <c r="CN57" s="11" t="n">
        <f aca="false" t="array" ref="CN57:CN57">IF(AND($CC$56:$CC$57=$CC$56,$CD$56:$CD$57&lt;90,$CC$56&lt;&gt;$CC$55),1,0)</f>
        <v>0</v>
      </c>
      <c r="CO57" s="11" t="n">
        <f aca="false" t="array" ref="CO57:CO57">IF(AND($CC$57&lt;&gt;$CC$55,$CC$57&lt;&gt;$CC$54),1,0)</f>
        <v>1</v>
      </c>
      <c r="CP57" s="11" t="n">
        <f aca="false" t="array" ref="CP57:CP57">IF(AND($CC$55:$CC$57=$CC$55,$CD$55:$CD$57&lt;90,$CC$54&lt;&gt;$CC$57),1,0)</f>
        <v>0</v>
      </c>
      <c r="CQ57" s="11" t="n">
        <f aca="false" t="array" ref="CQ57:CQ57">IF(AND($CC$57&lt;&gt;$CC$55,$CC$57&lt;&gt;$CC$54),1,0)</f>
        <v>1</v>
      </c>
      <c r="CR57" s="11" t="n">
        <f aca="false" t="array" ref="CR57:CR57">IF(AND($CC$56:$CC$57=$CC$56,$CD$56:$CD$57&lt;90,$CC$56&lt;&gt;$CC$55),1,0)</f>
        <v>0</v>
      </c>
      <c r="CS57" s="11" t="n">
        <f aca="false" t="array" ref="CS57:CS57">IF(AND($CC$57&lt;&gt;$CC$55,$CC$57&lt;&gt;$CC$54),1,0)</f>
        <v>1</v>
      </c>
      <c r="CT57" s="11" t="n">
        <f aca="false" t="array" ref="CT57:CT57">IF(AND($CC$54:$CC$57=$CC$54,$CD$54:$CD$57&lt;90,$CE$56:$CE$57=$CE$57,$CE$55&lt;&gt;$CE$57),1,0)</f>
        <v>0</v>
      </c>
      <c r="CU57" s="11" t="n">
        <f aca="false" t="array" ref="CU57:CU57">IF(AND($CC$54:$CC$57=$CC$54,$CD$54:$CD$57&lt;90,$CE$54:$CE$57=$CE$54,$CF$56=$CF$57,$CF$55&lt;&gt;$CF$56),1,0)</f>
        <v>0</v>
      </c>
      <c r="CV57" s="11" t="n">
        <f aca="false" t="array" ref="CV57:CV57">IF(AND($CC$54:$CC$56=$CC$54,$CD$54:$CD$55&lt;90,$CC$56&lt;&gt;$CC$57),1,0)</f>
        <v>0</v>
      </c>
      <c r="CW57" s="11" t="n">
        <f aca="false" t="array" ref="CW57:CW57">IF(AND($CC$55&lt;&gt;$CC$54,$CC$55:$CC$57=$CC$56,$CD$55&gt;90,$CD$56:$CD$57&lt;90),1,0)</f>
        <v>0</v>
      </c>
      <c r="CX57" s="11" t="n">
        <f aca="false" t="array" ref="CX57:CX57">IF(AND($CC$55&lt;&gt;$CC$54,$CC$55:$CC$57=$CC$55,$CD$57&gt;90,$CD$55:$CD$56&lt;90),1,0)</f>
        <v>0</v>
      </c>
      <c r="CY57" s="11" t="n">
        <f aca="false" t="array" ref="CY57:CY57">IF(AND($CC$57&lt;&gt;$CC$55,$CC$57&lt;&gt;$CC$56),1,0)</f>
        <v>1</v>
      </c>
      <c r="CZ57" s="11" t="n">
        <f aca="false" t="array" ref="CZ57:CZ57">IF(AND($CC$54:$CC$57=$CC$55,$CD$55:$CD$57&lt;90,$CD$54&lt;&gt;$CD$57),1,0)</f>
        <v>0</v>
      </c>
      <c r="DA57" s="11" t="n">
        <f aca="false" t="array" ref="DA57:DA57">IF(AND($CC$54:$CC$57=$CC$54,$CD$54:$CD$56&lt;90,$CD$56&lt;&gt;$CD$57),1,0)</f>
        <v>0</v>
      </c>
      <c r="DB57" s="11" t="n">
        <f aca="false" t="array" ref="DB57:DB57">IF(AND($CC$54:$CC$57=$CC$57,$CD$54:$CD$55&gt;90,$CD$56:$CD$57&lt;90,$CE$54:$CE$57=$CE$57,$CF$54&gt;$CF$55,$CF$55&gt;$CF$57,$CF$56=$CF$57),1,0)</f>
        <v>0</v>
      </c>
      <c r="DC57" s="11" t="n">
        <f aca="false" t="array" ref="DC57:DC57">IF(AND($CC$54:$CC$57=$CC$55,$CD$54&gt;90,$CD$55:$CD$56&lt;90,$CD$57&gt;90,$CE$54:$CE$57=$CE$57,$CF$54&gt;$CF$57,$CF$55=$CF$56,$CF$55&gt;$CF$57),1,0)</f>
        <v>0</v>
      </c>
      <c r="DD57" s="11" t="n">
        <f aca="false" t="array" ref="DD57:DD57">IF(AND($CC$54:$CC$57=$CC$57,$CD$54:$CD$55&lt;90,$CD$56:$CD$57&gt;90,$CE$54:$CE$57=$CE$57,$CF$54=$CF$55,$CF$55&gt;$CF$56,$CF$56&gt;$CF$57),1,0)</f>
        <v>0</v>
      </c>
      <c r="DE57" s="11" t="n">
        <f aca="false" t="array" ref="DE57:DE57">IF(AND($CC$54:$CC$57=$CC$57,$CD$54:$CD$55&gt;90,$CD$56:$CD$57&lt;90,$CE$54:$CE$57=$CE$57,$CF$54&gt;$CF$57,$CF$55:$CF$57=$CF$57),1,0)</f>
        <v>0</v>
      </c>
      <c r="DF57" s="11" t="n">
        <f aca="false" t="array" ref="DF57:DF57">IF(AND($CC$54:$CC$57=$CC$57,$CD$54:$CD$55&lt;90,$CD$56:$CD$57&gt;90,$CE$54:$CE$57=$CE$57,$CF$54:$CF$56=$CF$56,$CF$54:$CF$56&gt;$CF$57),1,0)</f>
        <v>0</v>
      </c>
      <c r="DG57" s="11" t="n">
        <f aca="false" t="array" ref="DG57:DG57">IF(AND($CC$54:$CC$57=$CC$57,$CD$54&gt;90,$CD$57&gt;90,$CD$55:$CD$56&lt;90,$CE$54:$CE$57=$CE$57,$CF$54&gt;$CF$55:$CF$57,$CF$55:$CF$57=$CF$57),1,0)</f>
        <v>0</v>
      </c>
      <c r="FI57" s="73"/>
      <c r="FK57" s="73"/>
      <c r="FM57" s="73"/>
    </row>
    <row r="58" customFormat="false" ht="15" hidden="false" customHeight="false" outlineLevel="0" collapsed="false">
      <c r="A58" s="12"/>
      <c r="B58" s="12"/>
      <c r="C58" s="12"/>
      <c r="D58" s="15"/>
      <c r="E58" s="15"/>
      <c r="F58" s="15"/>
      <c r="G58" s="15"/>
      <c r="H58" s="15"/>
      <c r="I58" s="15"/>
      <c r="J58" s="15"/>
      <c r="K58" s="15"/>
      <c r="L58" s="15"/>
      <c r="M58" s="14"/>
      <c r="N58" s="15"/>
      <c r="O58" s="141"/>
      <c r="P58" s="15"/>
      <c r="Q58" s="15"/>
      <c r="R58" s="330"/>
      <c r="S58" s="331"/>
      <c r="T58" s="331"/>
      <c r="U58" s="331"/>
      <c r="V58" s="331"/>
      <c r="W58" s="331"/>
      <c r="X58" s="331"/>
      <c r="Y58" s="331"/>
      <c r="Z58" s="331"/>
      <c r="AA58" s="332"/>
      <c r="AB58" s="331"/>
      <c r="AC58" s="331"/>
      <c r="AD58" s="331"/>
      <c r="AE58" s="23"/>
      <c r="AF58" s="24"/>
      <c r="AG58" s="11"/>
      <c r="AH58" s="11"/>
      <c r="AR58" s="11"/>
      <c r="AS58" s="11"/>
      <c r="AT58" s="11"/>
      <c r="AU58" s="11"/>
      <c r="AV58" s="11"/>
      <c r="AW58" s="31"/>
      <c r="AX58" s="11"/>
      <c r="AY58" s="11"/>
      <c r="AZ58" s="333"/>
      <c r="BA58" s="11"/>
      <c r="BB58" s="73"/>
      <c r="BD58" s="73"/>
      <c r="BE58" s="73"/>
      <c r="BF58" s="73"/>
      <c r="BG58" s="73"/>
      <c r="BH58" s="73"/>
      <c r="BI58" s="73"/>
      <c r="BJ58" s="73"/>
      <c r="BK58" s="73"/>
      <c r="BL58" s="73"/>
      <c r="BM58" s="73"/>
      <c r="BN58" s="73"/>
      <c r="BO58" s="73"/>
      <c r="BP58" s="73"/>
      <c r="BQ58" s="73"/>
      <c r="BR58" s="73"/>
      <c r="BS58" s="73"/>
      <c r="CD58" s="74"/>
      <c r="FI58" s="73"/>
      <c r="FK58" s="73"/>
      <c r="FM58" s="73"/>
    </row>
    <row r="59" s="11" customFormat="true" ht="15" hidden="false" customHeight="true" outlineLevel="0" collapsed="false">
      <c r="A59" s="12"/>
      <c r="B59" s="33"/>
      <c r="C59" s="12"/>
      <c r="D59" s="15"/>
      <c r="E59" s="25"/>
      <c r="F59" s="26" t="str">
        <f aca="false">F43</f>
        <v>Fecha</v>
      </c>
      <c r="G59" s="26" t="str">
        <f aca="false">G43</f>
        <v>Hora</v>
      </c>
      <c r="H59" s="27" t="str">
        <f aca="false">H43</f>
        <v>Jor.</v>
      </c>
      <c r="I59" s="28" t="str">
        <f aca="false">I43</f>
        <v>Casa</v>
      </c>
      <c r="J59" s="26"/>
      <c r="K59" s="29" t="str">
        <f aca="false">K43</f>
        <v>Gol</v>
      </c>
      <c r="L59" s="29" t="str">
        <f aca="false">L43</f>
        <v>Gol</v>
      </c>
      <c r="M59" s="29"/>
      <c r="N59" s="30" t="str">
        <f aca="false">N43</f>
        <v>Fuera</v>
      </c>
      <c r="O59" s="144"/>
      <c r="P59" s="21"/>
      <c r="Q59" s="21"/>
      <c r="R59" s="21"/>
      <c r="S59" s="21"/>
      <c r="T59" s="21"/>
      <c r="U59" s="21"/>
      <c r="V59" s="21"/>
      <c r="W59" s="21"/>
      <c r="X59" s="21"/>
      <c r="Y59" s="21"/>
      <c r="Z59" s="21"/>
      <c r="AA59" s="101"/>
      <c r="AB59" s="22"/>
      <c r="AC59" s="22"/>
      <c r="AD59" s="22"/>
      <c r="AE59" s="23"/>
      <c r="AF59" s="24"/>
      <c r="AW59" s="31"/>
      <c r="CH59" s="10"/>
      <c r="CL59" s="24" t="n">
        <v>1</v>
      </c>
      <c r="CM59" s="24" t="n">
        <v>12</v>
      </c>
      <c r="CN59" s="24" t="n">
        <v>18</v>
      </c>
      <c r="CO59" s="24" t="n">
        <v>19</v>
      </c>
      <c r="CP59" s="24" t="n">
        <v>13</v>
      </c>
      <c r="CQ59" s="24" t="n">
        <v>20</v>
      </c>
      <c r="CR59" s="24" t="n">
        <v>21</v>
      </c>
      <c r="CS59" s="24" t="n">
        <v>22</v>
      </c>
      <c r="CT59" s="24" t="n">
        <v>3</v>
      </c>
      <c r="CU59" s="24" t="n">
        <v>2</v>
      </c>
      <c r="CV59" s="24" t="n">
        <v>14</v>
      </c>
      <c r="CW59" s="24" t="n">
        <v>17</v>
      </c>
      <c r="CX59" s="24" t="n">
        <v>16</v>
      </c>
      <c r="CY59" s="24" t="n">
        <v>15</v>
      </c>
      <c r="CZ59" s="24" t="n">
        <v>4</v>
      </c>
      <c r="DA59" s="24" t="n">
        <v>5</v>
      </c>
      <c r="DB59" s="24" t="n">
        <v>10</v>
      </c>
      <c r="DC59" s="24" t="n">
        <v>8</v>
      </c>
      <c r="DD59" s="24" t="n">
        <v>6</v>
      </c>
      <c r="DE59" s="24" t="n">
        <v>11</v>
      </c>
      <c r="DF59" s="24" t="n">
        <v>7</v>
      </c>
      <c r="DG59" s="24" t="n">
        <v>9</v>
      </c>
      <c r="DH59" s="24"/>
      <c r="DI59" s="24"/>
      <c r="EC59" s="10" t="s">
        <v>19</v>
      </c>
      <c r="ED59" s="10" t="s">
        <v>20</v>
      </c>
      <c r="EE59" s="10" t="s">
        <v>21</v>
      </c>
      <c r="EF59" s="10" t="s">
        <v>22</v>
      </c>
      <c r="EG59" s="10" t="s">
        <v>23</v>
      </c>
      <c r="EH59" s="10" t="s">
        <v>24</v>
      </c>
      <c r="EI59" s="10" t="s">
        <v>25</v>
      </c>
      <c r="EJ59" s="10" t="s">
        <v>26</v>
      </c>
      <c r="EK59" s="10" t="s">
        <v>27</v>
      </c>
      <c r="EL59" s="10" t="s">
        <v>28</v>
      </c>
    </row>
    <row r="60" s="11" customFormat="true" ht="15" hidden="false" customHeight="true" outlineLevel="0" collapsed="false">
      <c r="A60" s="32" t="s">
        <v>29</v>
      </c>
      <c r="B60" s="33" t="s">
        <v>86</v>
      </c>
      <c r="C60" s="34" t="n">
        <f aca="false">COUNTIF(Equipos!$C$2:$C$33,MUNDIAL!B60)</f>
        <v>4</v>
      </c>
      <c r="D60" s="35"/>
      <c r="E60" s="334" t="s">
        <v>86</v>
      </c>
      <c r="F60" s="335" t="n">
        <f aca="false">Horarios!C60</f>
        <v>44889.6666666667</v>
      </c>
      <c r="G60" s="336" t="n">
        <f aca="false">Horarios!C60</f>
        <v>44889.6666666667</v>
      </c>
      <c r="H60" s="335" t="s">
        <v>31</v>
      </c>
      <c r="I60" s="337" t="str">
        <f aca="false">A63</f>
        <v>Uruguay</v>
      </c>
      <c r="J60" s="338" t="str">
        <f aca="false">VLOOKUP(I60,Equipos!$H$2:$I$33,2,0)</f>
        <v>🇺🇾</v>
      </c>
      <c r="K60" s="339" t="n">
        <v>0</v>
      </c>
      <c r="L60" s="339" t="n">
        <v>0</v>
      </c>
      <c r="M60" s="340" t="str">
        <f aca="false">VLOOKUP(N60,Equipos!$H$2:$I$33,2,0)</f>
        <v>🇰🇷</v>
      </c>
      <c r="N60" s="341" t="str">
        <f aca="false">A64</f>
        <v>Corea del Sur</v>
      </c>
      <c r="O60" s="44" t="n">
        <f aca="false">IF(NOT(OR(ISBLANK(K60),ISBLANK(L60))),1,0)</f>
        <v>1</v>
      </c>
      <c r="P60" s="45"/>
      <c r="Q60" s="342" t="str">
        <f aca="false">CONCATENATE("Grupo"," ",B60)</f>
        <v>Grupo H</v>
      </c>
      <c r="R60" s="342"/>
      <c r="S60" s="342"/>
      <c r="T60" s="342"/>
      <c r="U60" s="342"/>
      <c r="V60" s="342"/>
      <c r="W60" s="342"/>
      <c r="X60" s="342"/>
      <c r="Y60" s="342"/>
      <c r="Z60" s="342"/>
      <c r="AA60" s="111"/>
      <c r="AB60" s="48" t="s">
        <v>32</v>
      </c>
      <c r="AC60" s="48"/>
      <c r="AD60" s="48"/>
      <c r="AE60" s="23"/>
      <c r="AF60" s="24"/>
      <c r="AH60" s="11" t="str">
        <f aca="false">CONCATENATE("Auxiliar - ",Q60)</f>
        <v>Auxiliar - Grupo H</v>
      </c>
      <c r="AU60" s="11" t="s">
        <v>33</v>
      </c>
      <c r="AW60" s="31"/>
      <c r="AY60" s="24" t="str">
        <f aca="false">CONCATENATE(Q60," - GOLAVERAGE")</f>
        <v>Grupo H - GOLAVERAGE</v>
      </c>
      <c r="BB60" s="11" t="s">
        <v>35</v>
      </c>
      <c r="BH60" s="11" t="s">
        <v>36</v>
      </c>
      <c r="BN60" s="11" t="s">
        <v>37</v>
      </c>
      <c r="BO60" s="73"/>
      <c r="BP60" s="73"/>
      <c r="BQ60" s="73"/>
      <c r="BR60" s="73"/>
      <c r="BS60" s="73"/>
      <c r="BT60" s="10"/>
      <c r="BU60" s="10"/>
      <c r="BV60" s="10"/>
      <c r="BW60" s="10"/>
      <c r="BX60" s="10"/>
      <c r="BY60" s="10"/>
      <c r="BZ60" s="10"/>
      <c r="CA60" s="10"/>
      <c r="CB60" s="10"/>
      <c r="CC60" s="10"/>
      <c r="CD60" s="10"/>
      <c r="CE60" s="10"/>
      <c r="CF60" s="10"/>
      <c r="CG60" s="10"/>
      <c r="CH60" s="10"/>
      <c r="CI60" s="11" t="s">
        <v>38</v>
      </c>
      <c r="CK60" s="11" t="s">
        <v>39</v>
      </c>
      <c r="CL60" s="11" t="n">
        <f aca="false">SUM(CL62:CL65)</f>
        <v>0</v>
      </c>
      <c r="CM60" s="11" t="n">
        <f aca="false">SUM(CM62:CM65)</f>
        <v>0</v>
      </c>
      <c r="CN60" s="11" t="n">
        <f aca="false">SUM(CN62:CN65)</f>
        <v>0</v>
      </c>
      <c r="CO60" s="11" t="n">
        <f aca="false">SUM(CO62:CO65)</f>
        <v>1</v>
      </c>
      <c r="CP60" s="11" t="n">
        <f aca="false">SUM(CP62:CP65)</f>
        <v>0</v>
      </c>
      <c r="CQ60" s="11" t="n">
        <f aca="false">SUM(CQ62:CQ65)</f>
        <v>2</v>
      </c>
      <c r="CR60" s="11" t="n">
        <f aca="false">SUM(CR62:CR65)</f>
        <v>1</v>
      </c>
      <c r="CS60" s="11" t="n">
        <f aca="false">SUM(CS62:CS65)</f>
        <v>2</v>
      </c>
      <c r="CT60" s="11" t="n">
        <f aca="false">SUM(CT62:CT65)</f>
        <v>0</v>
      </c>
      <c r="CU60" s="11" t="n">
        <f aca="false">SUM(CU62:CU65)</f>
        <v>0</v>
      </c>
      <c r="CV60" s="11" t="n">
        <f aca="false">SUM(CV62:CV65)</f>
        <v>0</v>
      </c>
      <c r="CW60" s="11" t="n">
        <f aca="false">SUM(CW62:CW65)</f>
        <v>1</v>
      </c>
      <c r="CX60" s="11" t="n">
        <f aca="false">SUM(CX62:CX65)</f>
        <v>1</v>
      </c>
      <c r="CY60" s="11" t="n">
        <f aca="false">SUM(CY62:CY65)</f>
        <v>1</v>
      </c>
      <c r="CZ60" s="11" t="n">
        <f aca="false">SUM(CZ62:CZ65)</f>
        <v>0</v>
      </c>
      <c r="DA60" s="11" t="n">
        <f aca="false">SUM(DA62:DA65)</f>
        <v>0</v>
      </c>
      <c r="DB60" s="11" t="n">
        <f aca="false">SUM(DB62:DB65)</f>
        <v>0</v>
      </c>
      <c r="DC60" s="11" t="n">
        <f aca="false">SUM(DC62:DC65)</f>
        <v>0</v>
      </c>
      <c r="DD60" s="11" t="n">
        <f aca="false">SUM(DD62:DD65)</f>
        <v>0</v>
      </c>
      <c r="DE60" s="11" t="n">
        <f aca="false">SUM(DE62:DE65)</f>
        <v>0</v>
      </c>
      <c r="DF60" s="11" t="n">
        <f aca="false">SUM(DF62:DF65)</f>
        <v>0</v>
      </c>
      <c r="DG60" s="11" t="n">
        <f aca="false">SUM(DG62:DG65)</f>
        <v>0</v>
      </c>
      <c r="EC60" s="10" t="n">
        <v>1234</v>
      </c>
      <c r="ED60" s="10" t="n">
        <v>123</v>
      </c>
      <c r="EE60" s="10" t="n">
        <v>12</v>
      </c>
      <c r="EF60" s="10" t="n">
        <v>234</v>
      </c>
      <c r="EG60" s="10" t="n">
        <v>34</v>
      </c>
      <c r="EH60" s="10" t="n">
        <v>23</v>
      </c>
      <c r="EI60" s="10" t="n">
        <v>1</v>
      </c>
      <c r="EJ60" s="10" t="n">
        <v>2</v>
      </c>
      <c r="EK60" s="10" t="n">
        <v>3</v>
      </c>
      <c r="EL60" s="10" t="n">
        <v>4</v>
      </c>
      <c r="FM60" s="73"/>
    </row>
    <row r="61" s="11" customFormat="true" ht="15" hidden="false" customHeight="true" outlineLevel="0" collapsed="false">
      <c r="A61" s="32" t="str">
        <f aca="true" t="array" ref="A61:A61">IF(ROWS(A$61:A61)&lt;=$C$60,INDEX(INDIRECT(A$60),SMALL(IF(Nivell=$B$60,ROW(Nivell)-ROW(Equipos!$C$2)+1),ROWS(B$60:B60))),"")</f>
        <v>Portugal</v>
      </c>
      <c r="B61" s="33"/>
      <c r="C61" s="33"/>
      <c r="D61" s="35"/>
      <c r="E61" s="334"/>
      <c r="F61" s="343" t="n">
        <f aca="false">Horarios!C61</f>
        <v>44889.7916666667</v>
      </c>
      <c r="G61" s="344" t="n">
        <f aca="false">Horarios!C61</f>
        <v>44889.7916666667</v>
      </c>
      <c r="H61" s="343" t="s">
        <v>31</v>
      </c>
      <c r="I61" s="345" t="str">
        <f aca="false">A61</f>
        <v>Portugal</v>
      </c>
      <c r="J61" s="346" t="str">
        <f aca="false">VLOOKUP(I61,Equipos!$H$2:$I$33,2,0)</f>
        <v>🇵🇹</v>
      </c>
      <c r="K61" s="347" t="n">
        <v>3</v>
      </c>
      <c r="L61" s="347" t="n">
        <v>2</v>
      </c>
      <c r="M61" s="348" t="str">
        <f aca="false">VLOOKUP(N61,Equipos!$H$2:$I$33,2,0)</f>
        <v>🇬🇭</v>
      </c>
      <c r="N61" s="349" t="str">
        <f aca="false">A62</f>
        <v>Ghana</v>
      </c>
      <c r="O61" s="44" t="n">
        <f aca="false">IF(NOT(OR(ISBLANK(K61),ISBLANK(L61))),1,0)</f>
        <v>1</v>
      </c>
      <c r="P61" s="45"/>
      <c r="Q61" s="350" t="s">
        <v>40</v>
      </c>
      <c r="R61" s="351" t="s">
        <v>41</v>
      </c>
      <c r="S61" s="352" t="s">
        <v>42</v>
      </c>
      <c r="T61" s="352" t="s">
        <v>43</v>
      </c>
      <c r="U61" s="352" t="s">
        <v>44</v>
      </c>
      <c r="V61" s="352" t="s">
        <v>45</v>
      </c>
      <c r="W61" s="352" t="s">
        <v>46</v>
      </c>
      <c r="X61" s="352" t="s">
        <v>47</v>
      </c>
      <c r="Y61" s="352" t="s">
        <v>48</v>
      </c>
      <c r="Z61" s="353" t="s">
        <v>49</v>
      </c>
      <c r="AA61" s="111" t="n">
        <f aca="false">COUNTIF(AA62:AA65,"&lt;100")</f>
        <v>0</v>
      </c>
      <c r="AB61" s="48"/>
      <c r="AC61" s="48"/>
      <c r="AD61" s="48"/>
      <c r="AE61" s="23"/>
      <c r="AF61" s="24"/>
      <c r="AG61" s="60" t="s">
        <v>33</v>
      </c>
      <c r="AH61" s="60" t="s">
        <v>50</v>
      </c>
      <c r="AI61" s="60" t="s">
        <v>51</v>
      </c>
      <c r="AJ61" s="60" t="s">
        <v>52</v>
      </c>
      <c r="AK61" s="60" t="s">
        <v>43</v>
      </c>
      <c r="AL61" s="60" t="s">
        <v>44</v>
      </c>
      <c r="AM61" s="60" t="s">
        <v>45</v>
      </c>
      <c r="AN61" s="60" t="s">
        <v>46</v>
      </c>
      <c r="AO61" s="60" t="s">
        <v>47</v>
      </c>
      <c r="AP61" s="60" t="s">
        <v>48</v>
      </c>
      <c r="AQ61" s="60" t="s">
        <v>53</v>
      </c>
      <c r="AR61" s="60" t="s">
        <v>54</v>
      </c>
      <c r="AS61" s="60" t="s">
        <v>50</v>
      </c>
      <c r="AW61" s="31"/>
      <c r="AY61" s="60" t="s">
        <v>51</v>
      </c>
      <c r="AZ61" s="60" t="s">
        <v>56</v>
      </c>
      <c r="BA61" s="60" t="s">
        <v>57</v>
      </c>
      <c r="BB61" s="60" t="s">
        <v>58</v>
      </c>
      <c r="BC61" s="60" t="s">
        <v>59</v>
      </c>
      <c r="BD61" s="60" t="str">
        <f aca="false">AY62</f>
        <v>Portugal</v>
      </c>
      <c r="BE61" s="60" t="str">
        <f aca="false">AY63</f>
        <v>Ghana</v>
      </c>
      <c r="BF61" s="60" t="str">
        <f aca="false">AY64</f>
        <v>Uruguay</v>
      </c>
      <c r="BG61" s="60" t="str">
        <f aca="false">AY65</f>
        <v>Corea del Sur</v>
      </c>
      <c r="BH61" s="60" t="s">
        <v>58</v>
      </c>
      <c r="BI61" s="60" t="s">
        <v>59</v>
      </c>
      <c r="BJ61" s="60" t="str">
        <f aca="false">BD61</f>
        <v>Portugal</v>
      </c>
      <c r="BK61" s="60" t="str">
        <f aca="false">BE61</f>
        <v>Ghana</v>
      </c>
      <c r="BL61" s="60" t="str">
        <f aca="false">BF61</f>
        <v>Uruguay</v>
      </c>
      <c r="BM61" s="60" t="str">
        <f aca="false">BG61</f>
        <v>Corea del Sur</v>
      </c>
      <c r="BN61" s="60" t="s">
        <v>58</v>
      </c>
      <c r="BO61" s="60" t="s">
        <v>59</v>
      </c>
      <c r="BP61" s="60" t="str">
        <f aca="false">BD61</f>
        <v>Portugal</v>
      </c>
      <c r="BQ61" s="60" t="str">
        <f aca="false">BE61</f>
        <v>Ghana</v>
      </c>
      <c r="BR61" s="60" t="str">
        <f aca="false">BF61</f>
        <v>Uruguay</v>
      </c>
      <c r="BS61" s="60" t="str">
        <f aca="false">BG61</f>
        <v>Corea del Sur</v>
      </c>
      <c r="BT61" s="10"/>
      <c r="BU61" s="61"/>
      <c r="BV61" s="61" t="s">
        <v>60</v>
      </c>
      <c r="BW61" s="61"/>
      <c r="BX61" s="61" t="s">
        <v>62</v>
      </c>
      <c r="BY61" s="61"/>
      <c r="BZ61" s="10"/>
      <c r="CA61" s="61"/>
      <c r="CB61" s="61" t="s">
        <v>51</v>
      </c>
      <c r="CC61" s="61" t="s">
        <v>52</v>
      </c>
      <c r="CD61" s="61" t="s">
        <v>63</v>
      </c>
      <c r="CE61" s="61" t="s">
        <v>53</v>
      </c>
      <c r="CF61" s="61" t="s">
        <v>64</v>
      </c>
      <c r="CG61" s="61"/>
      <c r="CH61" s="10"/>
      <c r="CK61" s="11" t="s">
        <v>65</v>
      </c>
      <c r="CL61" s="11" t="s">
        <v>66</v>
      </c>
      <c r="CM61" s="11" t="s">
        <v>67</v>
      </c>
      <c r="CN61" s="11" t="s">
        <v>68</v>
      </c>
      <c r="CO61" s="11" t="s">
        <v>69</v>
      </c>
      <c r="CP61" s="11" t="s">
        <v>70</v>
      </c>
      <c r="CQ61" s="11" t="s">
        <v>71</v>
      </c>
      <c r="CR61" s="11" t="s">
        <v>72</v>
      </c>
      <c r="CS61" s="11" t="s">
        <v>73</v>
      </c>
      <c r="CT61" s="11" t="s">
        <v>68</v>
      </c>
      <c r="CU61" s="11" t="s">
        <v>68</v>
      </c>
      <c r="CV61" s="11" t="s">
        <v>69</v>
      </c>
      <c r="CW61" s="11" t="s">
        <v>72</v>
      </c>
      <c r="CX61" s="11" t="s">
        <v>71</v>
      </c>
      <c r="CY61" s="11" t="s">
        <v>71</v>
      </c>
      <c r="CZ61" s="11" t="s">
        <v>70</v>
      </c>
      <c r="DA61" s="11" t="s">
        <v>67</v>
      </c>
      <c r="DB61" s="11" t="s">
        <v>72</v>
      </c>
      <c r="DC61" s="11" t="s">
        <v>71</v>
      </c>
      <c r="DD61" s="11" t="s">
        <v>69</v>
      </c>
      <c r="DE61" s="11" t="s">
        <v>72</v>
      </c>
      <c r="DF61" s="11" t="s">
        <v>69</v>
      </c>
      <c r="DG61" s="11" t="s">
        <v>71</v>
      </c>
      <c r="EC61" s="10" t="n">
        <v>1</v>
      </c>
      <c r="ED61" s="10" t="n">
        <v>1</v>
      </c>
      <c r="EE61" s="10" t="n">
        <v>1</v>
      </c>
      <c r="EF61" s="10" t="n">
        <v>2</v>
      </c>
      <c r="EG61" s="10" t="n">
        <v>3</v>
      </c>
      <c r="EH61" s="10" t="n">
        <v>2</v>
      </c>
      <c r="EI61" s="10" t="n">
        <v>1</v>
      </c>
      <c r="EJ61" s="10" t="n">
        <v>2</v>
      </c>
      <c r="EK61" s="10" t="n">
        <v>3</v>
      </c>
      <c r="EL61" s="10" t="n">
        <v>4</v>
      </c>
      <c r="FI61" s="60"/>
      <c r="FK61" s="60"/>
      <c r="FM61" s="60"/>
    </row>
    <row r="62" s="11" customFormat="true" ht="15" hidden="false" customHeight="true" outlineLevel="0" collapsed="false">
      <c r="A62" s="32" t="str">
        <f aca="true" t="array" ref="A62:A62">IF(ROWS(A$61:A62)&lt;=$C$60,INDEX(INDIRECT(A$60),SMALL(IF(Nivell=$B$60,ROW(Nivell)-ROW(Equipos!$C$2)+1),ROWS(B$60:B61))),"")</f>
        <v>Ghana</v>
      </c>
      <c r="B62" s="33"/>
      <c r="C62" s="62"/>
      <c r="D62" s="35"/>
      <c r="E62" s="334"/>
      <c r="F62" s="343" t="n">
        <f aca="false">Horarios!C62</f>
        <v>44893.6666666667</v>
      </c>
      <c r="G62" s="344" t="n">
        <f aca="false">Horarios!C62</f>
        <v>44893.6666666667</v>
      </c>
      <c r="H62" s="343" t="s">
        <v>74</v>
      </c>
      <c r="I62" s="345" t="str">
        <f aca="false">A64</f>
        <v>Corea del Sur</v>
      </c>
      <c r="J62" s="346" t="str">
        <f aca="false">VLOOKUP(I62,Equipos!$H$2:$I$33,2,0)</f>
        <v>🇰🇷</v>
      </c>
      <c r="K62" s="347" t="n">
        <v>2</v>
      </c>
      <c r="L62" s="347" t="n">
        <v>3</v>
      </c>
      <c r="M62" s="348" t="str">
        <f aca="false">VLOOKUP(N62,Equipos!$H$2:$I$33,2,0)</f>
        <v>🇬🇭</v>
      </c>
      <c r="N62" s="349" t="str">
        <f aca="false">A62</f>
        <v>Ghana</v>
      </c>
      <c r="O62" s="44" t="n">
        <f aca="false">IF(NOT(OR(ISBLANK(K62),ISBLANK(L62))),1,0)</f>
        <v>1</v>
      </c>
      <c r="P62" s="45"/>
      <c r="Q62" s="354" t="n">
        <v>1</v>
      </c>
      <c r="R62" s="355" t="str">
        <f aca="false">VLOOKUP(Q62,$AG$62:$AI$65,3,0)</f>
        <v>Portugal</v>
      </c>
      <c r="S62" s="356" t="n">
        <f aca="false">VLOOKUP(R62,$AI$62:$AR$65,2,0)</f>
        <v>6</v>
      </c>
      <c r="T62" s="356" t="n">
        <f aca="false">VLOOKUP($R62,$AI$62:$AR$65,3,0)</f>
        <v>3</v>
      </c>
      <c r="U62" s="356" t="n">
        <f aca="false">VLOOKUP($R62,$AI$62:$AR$65,4,0)</f>
        <v>2</v>
      </c>
      <c r="V62" s="356" t="n">
        <f aca="false">VLOOKUP($R62,$AI$62:$AR$65,5,0)</f>
        <v>0</v>
      </c>
      <c r="W62" s="356" t="n">
        <f aca="false">VLOOKUP($R62,$AI$62:$AR$65,6,0)</f>
        <v>1</v>
      </c>
      <c r="X62" s="356" t="n">
        <f aca="false">VLOOKUP($R62,$AI$62:$AR$65,7,0)</f>
        <v>6</v>
      </c>
      <c r="Y62" s="356" t="n">
        <f aca="false">VLOOKUP($R62,$AI$62:$AR$65,8,0)</f>
        <v>4</v>
      </c>
      <c r="Z62" s="357" t="n">
        <f aca="false">VLOOKUP($R62,$AI$62:$AR$65,9,0)</f>
        <v>2</v>
      </c>
      <c r="AA62" s="67" t="n">
        <f aca="false">IF(SUM($AK$62:$AK$65)=12,MIN(ABS(BY61-BY62),ABS(BY62-BY63)),100)</f>
        <v>2222021100.03</v>
      </c>
      <c r="AB62" s="68" t="str">
        <f aca="false">IF(AND(AA62&gt;=0,AA62&lt;90),VLOOKUP(Q62,$BU$62:$BV$65,2,0),"")</f>
        <v/>
      </c>
      <c r="AC62" s="69"/>
      <c r="AD62" s="70"/>
      <c r="AE62" s="71"/>
      <c r="AF62" s="24" t="n">
        <f aca="false">VLOOKUP($R62,$AI$62:$AR$65,10,0)</f>
        <v>6666233699.71</v>
      </c>
      <c r="AG62" s="11" t="n">
        <f aca="false">RANK(AU62,$AU$62:$AU$65)</f>
        <v>1</v>
      </c>
      <c r="AH62" s="11" t="n">
        <f aca="false">RANK(AR62,$AR$62:$AR$65)</f>
        <v>1</v>
      </c>
      <c r="AI62" s="10" t="str">
        <f aca="false">A61</f>
        <v>Portugal</v>
      </c>
      <c r="AJ62" s="11" t="n">
        <f aca="false">AL62*3+AM62*1+AN62*0</f>
        <v>6</v>
      </c>
      <c r="AK62" s="11" t="n">
        <f aca="false">COUNTIFS($I$4:$I$65,AI62,$K$4:$K$65,"&lt;&gt;",$L$4:$L$65,"&lt;&gt;")+COUNTIFS($N$4:$N$65,AI62,$L$4:$L$65,"&lt;&gt;",$K$4:$K$65,"&lt;&gt;")</f>
        <v>3</v>
      </c>
      <c r="AL62" s="11" t="n">
        <f aca="false" t="array" ref="AL62:AL62">SUM(($I$4:$I$65=AI62)*($K$4:$K$65&lt;&gt;"")*($L$4:$L$65&lt;&gt;"")*($K$4:$K$65&gt;$L$4:$L$65),($N$4:$N$65=AI62)*($K$4:$K$65&lt;&gt;"")*($L$4:$L$65&lt;&gt;"")*($K$4:$K$65&lt;$L$4:$L$65))</f>
        <v>2</v>
      </c>
      <c r="AM62" s="11" t="n">
        <f aca="false" t="array" ref="AM62:AM62">SUM(($I$4:$I$65=AI62)*($K$4:$K$65&lt;&gt;"")*($L$4:$L$65&lt;&gt;"")*($K$4:$K$65=$L$4:$L$65),($N$4:$N$65=AI62)*($K$4:$K$65&lt;&gt;"")*($L$4:$L$65&lt;&gt;"")*($K$4:$K$65=$L$4:$L$65))</f>
        <v>0</v>
      </c>
      <c r="AN62" s="11" t="n">
        <f aca="false" t="array" ref="AN62:AN62">SUM(($I$4:$I$65=AI62)*($L$4:$L$65&lt;&gt;"")*($K$4:$K$65&lt;&gt;"")*($K$4:$K$65&lt;$L$4:$L$65),($K$4:$K$65&lt;&gt;"")*($N$4:$N$65=AI62)*($L$4:$L$65&lt;&gt;"")*($K$4:$K$65&gt;$L$4:$L$65))</f>
        <v>1</v>
      </c>
      <c r="AO62" s="11" t="n">
        <f aca="false" t="array" ref="AO62:AO62">SUMIFS($K$4:$K$65,$I$4:$I$65,AI62,$K$4:$K$65,"&lt;&gt;",$L$4:$L$65,"&lt;&gt;")+SUMIFS($L$4:$L$65,$N$4:$N$65,AI62,$K$4:$K$65,"&lt;&gt;",$L$4:$L$65,"&lt;&gt;")</f>
        <v>6</v>
      </c>
      <c r="AP62" s="11" t="n">
        <f aca="false" t="array" ref="AP62:AP62">SUMIFS($K$4:$K$65,$N$4:$N$65,AI62,$K$4:$K$65,"&lt;&gt;",$L$4:$L$65,"&lt;&gt;")+SUMIFS($L$4:$L$65,$I$4:$I$65,AI62,$K$4:$K$65,"&lt;&gt;",$L$4:$L$65,"&lt;&gt;")</f>
        <v>4</v>
      </c>
      <c r="AQ62" s="11" t="n">
        <f aca="false">AO62-AP62</f>
        <v>2</v>
      </c>
      <c r="AR62" s="11" t="n">
        <f aca="false">IF(AK62=0,-($AW$11*VLOOKUP(AI62,Tabla3[[NombreEquipo]:[Rank]],3,0)),AJ62*$AW$4+BA62+AQ62*$AW$8+AO62*$AW$9+AL62*$AW$10-($AW$11*VLOOKUP(AI62,Tabla3[[NombreEquipo]:[Rank]],3,0)/100))</f>
        <v>6666233699.71</v>
      </c>
      <c r="AS62" s="11" t="n">
        <f aca="false">AH62</f>
        <v>1</v>
      </c>
      <c r="AU62" s="11" t="n">
        <f aca="false">IFERROR(AR62-VLOOKUP(AI62,$AB$62:$AC$65,2,0),AR62)</f>
        <v>6666233699.71</v>
      </c>
      <c r="AW62" s="31"/>
      <c r="AY62" s="72" t="str">
        <f aca="false">AI62</f>
        <v>Portugal</v>
      </c>
      <c r="AZ62" s="11" t="n">
        <f aca="false">COUNTIF(AJ62:AJ65,AJ62)</f>
        <v>1</v>
      </c>
      <c r="BA62" s="11" t="n">
        <f aca="false">(BB62*$AW$9)+(BH62*$AW$8)+(BN62*$AW$7)</f>
        <v>210500</v>
      </c>
      <c r="BB62" s="73" t="n">
        <f aca="false">RANK(BC62,BC62:BC65,1)</f>
        <v>1</v>
      </c>
      <c r="BC62" s="73" t="n">
        <f aca="false">SUM(IF(AND(AJ62=AJ63,AQ62=AQ63,AO62=AO63),BE62,0),IF(AND(AJ62=AJ64,AQ62=AQ64,AO62=AO64),BF62,0),IF(AND(AJ62=AJ65,AQ62=AQ65,AO62=AO65),BG62,0))</f>
        <v>0</v>
      </c>
      <c r="BD62" s="73" t="n">
        <v>0</v>
      </c>
      <c r="BE62" s="73" t="n">
        <f aca="false" t="array" ref="BE62:BE62">SUMIFS($K$60:$K$65,$I$60:$I$65,$AY62,$K$60:$K$65,"&lt;&gt;",$L$60:$L$65,"&lt;&gt;",$N$60:$N$65,BE61)+SUMIFS($L$60:$L$65,$I$60:$I$65,BE61,$K$60:$K$65,"&lt;&gt;",$L$60:$L$65,"&lt;&gt;",$N$60:$N$65,$AY62)</f>
        <v>3</v>
      </c>
      <c r="BF62" s="73" t="n">
        <f aca="false" t="array" ref="BF62:BF62">SUMIFS($K$60:$K$65,$I$60:$I$65,$AY62,$K$60:$K$65,"&lt;&gt;",$L$60:$L$65,"&lt;&gt;",$N$60:$N$65,BF61)+SUMIFS($L$60:$L$65,$I$60:$I$65,BF61,$K$60:$K$65,"&lt;&gt;",$L$60:$L$65,"&lt;&gt;",$N$60:$N$65,$AY62)</f>
        <v>2</v>
      </c>
      <c r="BG62" s="73" t="n">
        <f aca="false" t="array" ref="BG62:BG62">SUMIFS($K$60:$K$65,$I$60:$I$65,$AY62,$K$60:$K$65,"&lt;&gt;",$L$60:$L$65,"&lt;&gt;",$N$60:$N$65,BG61)+SUMIFS($L$60:$L$65,$I$60:$I$65,BG61,$K$60:$K$65,"&lt;&gt;",$L$60:$L$65,"&lt;&gt;",$N$60:$N$65,$AY62)</f>
        <v>1</v>
      </c>
      <c r="BH62" s="73" t="n">
        <f aca="false">RANK(BI62,BI62:BI65,1)</f>
        <v>1</v>
      </c>
      <c r="BI62" s="73" t="n">
        <f aca="false">SUM(IF(AND(AJ62=AJ63,AQ62=AQ63,AO62=AO63),BK62,0),IF(AND(AJ62=AJ64,AQ62=AQ64,AO62=AO64),BL62,0),IF(AND(AJ62=AJ65,AQ62=AQ65,AO62=AO65),BM62,0))</f>
        <v>0</v>
      </c>
      <c r="BJ62" s="73" t="n">
        <v>0</v>
      </c>
      <c r="BK62" s="73" t="n">
        <f aca="false">BE62-BD63</f>
        <v>1</v>
      </c>
      <c r="BL62" s="73" t="n">
        <f aca="false">BF62-BD64</f>
        <v>2</v>
      </c>
      <c r="BM62" s="73" t="n">
        <f aca="false">BG62-BD65</f>
        <v>-1</v>
      </c>
      <c r="BN62" s="73" t="n">
        <f aca="false">RANK(BO62,BO62:BO65,1)</f>
        <v>1</v>
      </c>
      <c r="BO62" s="73" t="n">
        <f aca="false">SUM(IF(AND(AJ62=AJ63,AQ62=AQ63,AO62=AO63),BQ62,0),IF(AND(AJ62=AJ64,AQ62=AQ64,AO62=AO64),BR62,0),IF(AND(AJ62=AJ65,AQ62=AQ65,AO62=AO65),BS62,0))</f>
        <v>0</v>
      </c>
      <c r="BP62" s="73" t="n">
        <v>0</v>
      </c>
      <c r="BQ62" s="73" t="n">
        <f aca="false" t="array" ref="BQ62:BQ62">SUM((I$4:I$65=AY62)*(N$4:N$65=BQ61)*(K$4:K$65&lt;&gt;"")*(L$4:L$65&lt;&gt;"")*(K$4:K$65&gt;L$4:L$65)*3,(N$4:N$65=AY62)*(I$4:I$65=BQ61)*(K$4:K$65&lt;&gt;"")*(L$4:L$65&lt;&gt;"")*(K$4:K$65=L$4:L$65)*1,(N$4:N$65=AY62)*(I$4:I$65=BQ61)*(K$4:K$65&lt;&gt;"")*(L$4:L$65&lt;&gt;"")*(K$4:K$65&lt;L$4:L$65)*3,(I$4:I$65=AY62)*(N$4:N$65=BQ61)*(K$4:K$65&lt;&gt;"")*(L$4:L$65&lt;&gt;"")*(K$4:K$65=L$4:L$65)*1)</f>
        <v>3</v>
      </c>
      <c r="BR62" s="73" t="n">
        <f aca="false" t="array" ref="BR62:BR62">SUM((I$4:I$65=AY62)*(N$4:N$65=BR61)*(K$4:K$65&lt;&gt;"")*(L$4:L$65&lt;&gt;"")*(K$4:K$65&gt;L$4:L$65)*3,(N$4:N$65=AY62)*(I$4:I$65=BR61)*(K$4:K$65&lt;&gt;"")*(L$4:L$65&lt;&gt;"")*(K$4:K$65=L$4:L$65)*1,(N$4:N$65=AY62)*(I$4:I$65=BR61)*(K$4:K$65&lt;&gt;"")*(L$4:L$65&lt;&gt;"")*(K$4:K$65&lt;L$4:L$65)*3,(I$4:I$65=AY62)*(N$4:N$65=BR61)*(K$4:K$65&lt;&gt;"")*(L$4:L$65&lt;&gt;"")*(K$4:K$65=L$4:L$65)*1)</f>
        <v>3</v>
      </c>
      <c r="BS62" s="73" t="n">
        <f aca="false" t="array" ref="BS62:BS62">SUM((I$4:I$65=AY62)*(N$4:N$65=BS61)*(K$4:K$65&lt;&gt;"")*(L$4:L$65&lt;&gt;"")*(K$4:K$65&gt;L$4:L$65)*3,(N$4:N$65=AY62)*(I$4:I$65=BS61)*(K$4:K$65&lt;&gt;"")*(L$4:L$65&lt;&gt;"")*(K$4:K$65=L$4:L$65)*1,(N$4:N$65=AY62)*(I$4:I$65=BS61)*(K$4:K$65&lt;&gt;"")*(L$4:L$65&lt;&gt;"")*(K$4:K$65&lt;L$4:L$65)*3,(I$4:I$65=AY62)*(N$4:N$65=BS61)*(K$4:K$65&lt;&gt;"")*(L$4:L$65&lt;&gt;"")*(K$4:K$65=L$4:L$65)*1)</f>
        <v>0</v>
      </c>
      <c r="BT62" s="10" t="n">
        <v>1</v>
      </c>
      <c r="BU62" s="10" t="n">
        <f aca="false">RANK(BW62,$BW$62:$BW$65)</f>
        <v>1</v>
      </c>
      <c r="BV62" s="10" t="str">
        <f aca="false">A61</f>
        <v>Portugal</v>
      </c>
      <c r="BW62" s="10" t="n">
        <f aca="false">IF(AK62=0,-($AW$11*VLOOKUP(AI62,Tabla3[[NombreEquipo]:[Rank]],3,0)),AJ62*$AW$4+BA62+AQ62*$AW$8+AO62*$AW$9+AL62*$AW$10-($AW$11*VLOOKUP(AI62,Tabla3[[NombreEquipo]:[Rank]],3,0)/100))</f>
        <v>6666233699.71</v>
      </c>
      <c r="BX62" s="10" t="str">
        <f aca="false">VLOOKUP(Q62,$AH$62:$AI$65,2,0)</f>
        <v>Portugal</v>
      </c>
      <c r="BY62" s="10" t="n">
        <f aca="false">VLOOKUP($BX62,$AI$62:$AR$65,10,0)</f>
        <v>6666233699.71</v>
      </c>
      <c r="BZ62" s="10"/>
      <c r="CA62" s="10" t="n">
        <v>1</v>
      </c>
      <c r="CB62" s="10" t="str">
        <f aca="false">VLOOKUP(CA62,$AH$62:$AI$65,2,0)</f>
        <v>Portugal</v>
      </c>
      <c r="CC62" s="10" t="n">
        <f aca="false">VLOOKUP(CB62,$AI$62:$AR$65,2,0)</f>
        <v>6</v>
      </c>
      <c r="CD62" s="74" t="n">
        <f aca="false">IF(SUM($AK$62:$AK$65)=12,MIN(ABS(BY61-BY62),ABS(BY62-BY63)),100)</f>
        <v>2222021100.03</v>
      </c>
      <c r="CE62" s="10" t="n">
        <f aca="false">VLOOKUP($CB62,$AI$62:$AR$65,9,0)</f>
        <v>2</v>
      </c>
      <c r="CF62" s="10" t="n">
        <f aca="false">VLOOKUP($CB62,$AI$62:$AR$65,7,0)</f>
        <v>6</v>
      </c>
      <c r="CG62" s="10"/>
      <c r="CH62" s="10" t="n">
        <f aca="false" t="array" ref="CH62:CH62">IF($CI$62=$CL$61,$EC$61:$EC$64,IF($CI$62=$CM$61,$ED$61:$ED$63,IF(OR($CI$62=$CN$61,$CI$62=$CO$61),$EE$61:$EE$62,$EI$61)))</f>
        <v>1</v>
      </c>
      <c r="CI62" s="11" t="str">
        <f aca="false">IFERROR(HLOOKUP(4,CL60:DI61,2,0),CS61)</f>
        <v>COM_8</v>
      </c>
      <c r="CK62" s="11" t="n">
        <v>1</v>
      </c>
      <c r="CL62" s="11" t="n">
        <f aca="false" t="array" ref="CL62:CL62">IF(AND($CC$62:$CC$65=$CC$62,$CD$62:$CD$65&lt;90,$AQ$62:$AQ$65=$AQ$62,$CF$62:$CF$65=$CF$62),1,0)</f>
        <v>0</v>
      </c>
      <c r="CM62" s="11" t="n">
        <f aca="false" t="array" ref="CM62:CM62">IF(AND($CC$62:$CC$64=$CC$62,$CD$62:$CD$64&lt;90,$CC$62&lt;&gt;$CC$65),1,0)</f>
        <v>0</v>
      </c>
      <c r="CN62" s="11" t="n">
        <f aca="false" t="array" ref="CN62:CN62">IF(AND($CC$62:$CC$63=$CC$62,$CD$62:$CD$63&lt;90,$CC$62&lt;&gt;$CC$64),1,0)</f>
        <v>0</v>
      </c>
      <c r="CO62" s="11" t="n">
        <f aca="false" t="array" ref="CO62:CO62">IF(AND($CC$62:$CC$63=$CC$62,$CD$62:$CD$63&lt;90,$CC$62&lt;&gt;$CC$64),1,0)</f>
        <v>0</v>
      </c>
      <c r="CP62" s="11" t="n">
        <f aca="false" t="array" ref="CP62:CP62">IF(AND($CC$63:$CC$65=$CC$63,$CD$63:$CD$65&lt;90,$CC$62&lt;&gt;$CC$63),1,0)</f>
        <v>0</v>
      </c>
      <c r="CQ62" s="11" t="n">
        <f aca="false" t="array" ref="CQ62:CQ62">IF(AND($CC$62&lt;&gt;$CC$63,$CC$62&lt;&gt;$CC$65),1,0)</f>
        <v>1</v>
      </c>
      <c r="CR62" s="11" t="n">
        <f aca="false" t="array" ref="CR62:CR62">IF(AND($CC$62&lt;&gt;$CC$63,$CC$62&lt;&gt;$CC$65),1,0)</f>
        <v>1</v>
      </c>
      <c r="CS62" s="11" t="n">
        <f aca="false" t="array" ref="CS62:CS62">IF(AND($CC$62&lt;&gt;$CC$63,$CC$62&lt;&gt;$CC$65),1,0)</f>
        <v>1</v>
      </c>
      <c r="CT62" s="11" t="n">
        <f aca="false">IF(AND($CC$62:$CC$65=$CC$62,$CD$62:$CD$65&lt;90,$CE$62:$CE$63=$CE$62,$CE$62&lt;&gt;$CE$64),1,0)</f>
        <v>0</v>
      </c>
      <c r="CU62" s="11" t="n">
        <f aca="false" t="array" ref="CU62:CU62">IF(AND($CC$62:$CC$65=$CC$62,$CD$62:$CD$65&lt;90,$CE$62:$CE$65=$CE$62,$CF$62=$CF$63,$CF$62&lt;&gt;$CF$64),1,0)</f>
        <v>0</v>
      </c>
      <c r="CV62" s="11" t="n">
        <f aca="false" t="array" ref="CV62:CV62">IF(AND($CC$62:$CC$64=$CC$62,$CD$62:$CD$63&lt;90,$CD$64&gt;90),1,0)</f>
        <v>0</v>
      </c>
      <c r="CW62" s="11" t="n">
        <f aca="false" t="array" ref="CW62:CW62">IF(AND($CC$62&lt;&gt;$CC$63,$CC$62&lt;&gt;$CC$64),1,0)</f>
        <v>1</v>
      </c>
      <c r="CX62" s="11" t="n">
        <f aca="false" t="array" ref="CX62:CX62">IF(AND($CC$62&lt;&gt;$CC$63,$CC$62&lt;&gt;$CC$64),1,0)</f>
        <v>1</v>
      </c>
      <c r="CY62" s="11" t="n">
        <f aca="false" t="array" ref="CY62:CY62">IF(AND($CC$62&lt;&gt;$CC$65,$CC$62:$CC$64=$CC$62,$CD$62&gt;90,$CD$63:$CD$64&lt;90),1,0)</f>
        <v>0</v>
      </c>
      <c r="CZ62" s="11" t="n">
        <f aca="false" t="array" ref="CZ62:CZ62">IF(AND($CC$62:$CC$65=$CC$62,$CD$63:$CD$65&lt;90,$CD$62&lt;&gt;$CD$63),1,0)</f>
        <v>0</v>
      </c>
      <c r="DA62" s="11" t="n">
        <f aca="false" t="array" ref="DA62:DA62">IF(AND($CC$62:$CC$65=$CC$62,$CD$62:$CD$64&lt;90,$CD$62&lt;&gt;$CD$65),1,0)</f>
        <v>0</v>
      </c>
      <c r="DB62" s="11" t="n">
        <f aca="false" t="array" ref="DB62:DB62">IF(AND($CC$62:$CC$65=$CC$62,$CD$62:$CD$63&gt;90,$CD$64:$CD$65&lt;90,$CE$62:$CE$65=$CE$62,$CF$62&gt;$CF$63,$CF$62&gt;$CF$64,$CF$62&gt;$CF$65),1,0)</f>
        <v>0</v>
      </c>
      <c r="DC62" s="11" t="n">
        <f aca="false" t="array" ref="DC62:DC62">IF(AND($CC$62:$CC$65=$CC$62,$CD$62&gt;90,$CD$63:$CD$64&lt;90,$CD$65&gt;90,$CE$62:$CE$65=$CE$62,$CF$62&gt;$CF$63,$CF$62&gt;$CF$64,$CF$62&gt;$CF$65),1,0)</f>
        <v>0</v>
      </c>
      <c r="DD62" s="11" t="n">
        <f aca="false" t="array" ref="DD62:DD62">IF(AND($CC$62:$CC$65=$CC$62,$CD$62:$CD$63&lt;90,$CD$64:$CD$65&gt;90,$CE$62:$CE$65=$CE$62,$CF$62=$CF$63,$CF$62&gt;$CF$64,$CF$62&gt;$CF$65),1,0)</f>
        <v>0</v>
      </c>
      <c r="DE62" s="11" t="n">
        <f aca="false" t="array" ref="DE62:DE62">IF(AND($CC$62:$CC$65=$CC$62,$CD$62:$CD$63&gt;90,$CD$64:$CD$65&lt;90,$CE$62:$CE$65=$CE$62,$CF$62&gt;$CF$63,$CF$63:$CF$65=$CF$63),1,0)</f>
        <v>0</v>
      </c>
      <c r="DF62" s="11" t="n">
        <f aca="false" t="array" ref="DF62:DF62">IF(AND($CC$62:$CC$65=$CC$62,$CD$62:$CD$63&lt;90,$CD$64:$CD$65&gt;90,$CE$62:$CE$65=$CE$62,$CF$62:$CF$64=$CF$62,$CF$62&gt;$CF$65),1,0)</f>
        <v>0</v>
      </c>
      <c r="DG62" s="11" t="n">
        <f aca="false" t="array" ref="DG62:DG62">IF(AND($CC$62:$CC$65=$CC$62,$CD$62&gt;90,$CD$65&gt;90,$CD$63:$CD$64&lt;90,$CE$62:$CE$65=$CE$62,$CF$62&gt;$CF$63:$CF$65),1,0)</f>
        <v>0</v>
      </c>
      <c r="EC62" s="10" t="n">
        <v>2</v>
      </c>
      <c r="ED62" s="10" t="n">
        <v>2</v>
      </c>
      <c r="EE62" s="10" t="n">
        <v>2</v>
      </c>
      <c r="EF62" s="10" t="n">
        <v>3</v>
      </c>
      <c r="EG62" s="10" t="n">
        <v>4</v>
      </c>
      <c r="EH62" s="10" t="n">
        <v>3</v>
      </c>
      <c r="EI62" s="10"/>
      <c r="EJ62" s="10"/>
      <c r="EK62" s="10"/>
      <c r="EL62" s="10"/>
      <c r="FI62" s="73"/>
      <c r="FK62" s="73"/>
      <c r="FM62" s="73"/>
    </row>
    <row r="63" customFormat="false" ht="15" hidden="false" customHeight="true" outlineLevel="0" collapsed="false">
      <c r="A63" s="32" t="str">
        <f aca="true" t="array" ref="A63:A63">IF(ROWS(A$61:A63)&lt;=$C$60,INDEX(INDIRECT(A$60),SMALL(IF(Nivell=$B$60,ROW(Nivell)-ROW(Equipos!$C$2)+1),ROWS(B$60:B62))),"")</f>
        <v>Uruguay</v>
      </c>
      <c r="B63" s="33"/>
      <c r="C63" s="75"/>
      <c r="D63" s="35"/>
      <c r="E63" s="334"/>
      <c r="F63" s="343" t="n">
        <f aca="false">Horarios!C63</f>
        <v>44893.9166666667</v>
      </c>
      <c r="G63" s="344" t="n">
        <f aca="false">Horarios!C63</f>
        <v>44893.9166666667</v>
      </c>
      <c r="H63" s="343" t="s">
        <v>74</v>
      </c>
      <c r="I63" s="345" t="str">
        <f aca="false">A61</f>
        <v>Portugal</v>
      </c>
      <c r="J63" s="346" t="str">
        <f aca="false">VLOOKUP(I63,Equipos!$H$2:$I$33,2,0)</f>
        <v>🇵🇹</v>
      </c>
      <c r="K63" s="347" t="n">
        <v>2</v>
      </c>
      <c r="L63" s="347" t="n">
        <v>0</v>
      </c>
      <c r="M63" s="348" t="str">
        <f aca="false">VLOOKUP(N63,Equipos!$H$2:$I$33,2,0)</f>
        <v>🇺🇾</v>
      </c>
      <c r="N63" s="349" t="str">
        <f aca="false">A63</f>
        <v>Uruguay</v>
      </c>
      <c r="O63" s="44" t="n">
        <f aca="false">IF(NOT(OR(ISBLANK(K63),ISBLANK(L63))),1,0)</f>
        <v>1</v>
      </c>
      <c r="P63" s="45"/>
      <c r="Q63" s="358" t="n">
        <v>2</v>
      </c>
      <c r="R63" s="77" t="str">
        <f aca="false">VLOOKUP(Q63,$AG$62:$AI$65,3,0)</f>
        <v>Corea del Sur</v>
      </c>
      <c r="S63" s="78" t="n">
        <f aca="false">VLOOKUP(R63,$AI$62:$AR$65,2,0)</f>
        <v>4</v>
      </c>
      <c r="T63" s="78" t="n">
        <f aca="false">VLOOKUP($R63,$AI$62:$AR$65,3,0)</f>
        <v>3</v>
      </c>
      <c r="U63" s="78" t="n">
        <f aca="false">VLOOKUP($R63,$AI$62:$AR$65,4,0)</f>
        <v>1</v>
      </c>
      <c r="V63" s="78" t="n">
        <f aca="false">VLOOKUP($R63,$AI$62:$AR$65,5,0)</f>
        <v>1</v>
      </c>
      <c r="W63" s="78" t="n">
        <f aca="false">VLOOKUP($R63,$AI$62:$AR$65,6,0)</f>
        <v>1</v>
      </c>
      <c r="X63" s="78" t="n">
        <f aca="false">VLOOKUP($R63,$AI$62:$AR$65,7,0)</f>
        <v>4</v>
      </c>
      <c r="Y63" s="78" t="n">
        <f aca="false">VLOOKUP($R63,$AI$62:$AR$65,8,0)</f>
        <v>4</v>
      </c>
      <c r="Z63" s="359" t="n">
        <f aca="false">VLOOKUP($R63,$AI$62:$AR$65,9,0)</f>
        <v>0</v>
      </c>
      <c r="AA63" s="67" t="n">
        <f aca="false">IF(SUM($AK$62:$AK$65)=12,MIN(ABS(BY62-BY63),ABS(BY63-BY64)),100)</f>
        <v>999.990000724793</v>
      </c>
      <c r="AB63" s="68" t="str">
        <f aca="false">IF(AND(AA63&gt;=0,AA63&lt;90),VLOOKUP(Q63,$BU$62:$BV$65,2,0),"")</f>
        <v/>
      </c>
      <c r="AC63" s="69"/>
      <c r="AD63" s="70"/>
      <c r="AE63" s="71"/>
      <c r="AF63" s="24" t="n">
        <f aca="false">VLOOKUP($R63,$AI$62:$AR$65,10,0)</f>
        <v>4444212599.68</v>
      </c>
      <c r="AG63" s="11" t="n">
        <f aca="false">RANK(AU63,$AU$62:$AU$65)</f>
        <v>4</v>
      </c>
      <c r="AH63" s="11" t="n">
        <f aca="false">RANK(AR63,$AR$62:$AR$65)</f>
        <v>4</v>
      </c>
      <c r="AI63" s="10" t="str">
        <f aca="false">A62</f>
        <v>Ghana</v>
      </c>
      <c r="AJ63" s="11" t="n">
        <f aca="false">AL63*3+AM63*1+AN63*0</f>
        <v>3</v>
      </c>
      <c r="AK63" s="11" t="n">
        <f aca="false">COUNTIFS($I$4:$I$65,AI63,$K$4:$K$65,"&lt;&gt;",$L$4:$L$65,"&lt;&gt;")+COUNTIFS($N$4:$N$65,AI63,$L$4:$L$65,"&lt;&gt;",$K$4:$K$65,"&lt;&gt;")</f>
        <v>3</v>
      </c>
      <c r="AL63" s="11" t="n">
        <f aca="false" t="array" ref="AL63:AL63">SUM(($I$4:$I$65=AI63)*($K$4:$K$65&lt;&gt;"")*($L$4:$L$65&lt;&gt;"")*($K$4:$K$65&gt;$L$4:$L$65),($N$4:$N$65=AI63)*($K$4:$K$65&lt;&gt;"")*($L$4:$L$65&lt;&gt;"")*($K$4:$K$65&lt;$L$4:$L$65))</f>
        <v>1</v>
      </c>
      <c r="AM63" s="11" t="n">
        <f aca="false" t="array" ref="AM63:AM63">SUM(($I$4:$I$65=AI63)*($K$4:$K$65&lt;&gt;"")*($L$4:$L$65&lt;&gt;"")*($K$4:$K$65=$L$4:$L$65),($N$4:$N$65=AI63)*($K$4:$K$65&lt;&gt;"")*($L$4:$L$65&lt;&gt;"")*($K$4:$K$65=$L$4:$L$65))</f>
        <v>0</v>
      </c>
      <c r="AN63" s="11" t="n">
        <f aca="false" t="array" ref="AN63:AN63">SUM(($I$4:$I$65=AI63)*($L$4:$L$65&lt;&gt;"")*($K$4:$K$65&lt;&gt;"")*($K$4:$K$65&lt;$L$4:$L$65),($K$4:$K$65&lt;&gt;"")*($N$4:$N$65=AI63)*($L$4:$L$65&lt;&gt;"")*($K$4:$K$65&gt;$L$4:$L$65))</f>
        <v>2</v>
      </c>
      <c r="AO63" s="11" t="n">
        <f aca="false" t="array" ref="AO63:AO63">SUMIFS($K$4:$K$65,$I$4:$I$65,AI63,$K$4:$K$65,"&lt;&gt;",$L$4:$L$65,"&lt;&gt;")+SUMIFS($L$4:$L$65,$N$4:$N$65,AI63,$K$4:$K$65,"&lt;&gt;",$L$4:$L$65,"&lt;&gt;")</f>
        <v>5</v>
      </c>
      <c r="AP63" s="11" t="n">
        <f aca="false" t="array" ref="AP63:AP63">SUMIFS($K$4:$K$65,$N$4:$N$65,AI63,$K$4:$K$65,"&lt;&gt;",$L$4:$L$65,"&lt;&gt;")+SUMIFS($L$4:$L$65,$I$4:$I$65,AI63,$K$4:$K$65,"&lt;&gt;",$L$4:$L$65,"&lt;&gt;")</f>
        <v>7</v>
      </c>
      <c r="AQ63" s="11" t="n">
        <f aca="false">AO63-AP63</f>
        <v>-2</v>
      </c>
      <c r="AR63" s="11" t="n">
        <f aca="false">IF(AK63=0,-($AW$11*VLOOKUP(AI63,Tabla3[[NombreEquipo]:[Rank]],3,0)),AJ63*$AW$4+BA63+AQ63*$AW$8+AO63*$AW$9+AL63*$AW$10-($AW$11*VLOOKUP(AI63,Tabla3[[NombreEquipo]:[Rank]],3,0)/100))</f>
        <v>3333193099.7</v>
      </c>
      <c r="AS63" s="11" t="n">
        <f aca="false">AH63</f>
        <v>4</v>
      </c>
      <c r="AT63" s="11"/>
      <c r="AU63" s="11" t="n">
        <f aca="false">IFERROR(AR63-VLOOKUP(AI63,$AB$62:$AC$65,2,0),AR63)</f>
        <v>3333193099.7</v>
      </c>
      <c r="AV63" s="11"/>
      <c r="AX63" s="11"/>
      <c r="AY63" s="72" t="str">
        <f aca="false">AI63</f>
        <v>Ghana</v>
      </c>
      <c r="AZ63" s="11" t="n">
        <f aca="false">COUNTIF(AJ62:AJ65,AJ63)</f>
        <v>1</v>
      </c>
      <c r="BA63" s="11" t="n">
        <f aca="false">(BB63*$AW$9)+(BH63*$AW$8)+(BN63*$AW$7)</f>
        <v>210500</v>
      </c>
      <c r="BB63" s="73" t="n">
        <f aca="false">RANK(BC63,BC62:BC65,1)</f>
        <v>1</v>
      </c>
      <c r="BC63" s="73" t="n">
        <f aca="false">SUM(IF(AND(AJ63=AJ64,AQ63=AQ64,AO63=AO64),BF63,0),IF(AND(AJ63=AJ65,AQ63=AQ65,AO63=AO65),BG63,0),IF(AND(AJ63=AJ62,AQ63=AQ62,AO63=AO62),BD63,0))</f>
        <v>0</v>
      </c>
      <c r="BD63" s="73" t="n">
        <f aca="false" t="array" ref="BD63:BD63">SUMIFS($K$60:$K$65,$I$60:$I$65,$AY63,$K$60:$K$65,"&lt;&gt;",$L$60:$L$65,"&lt;&gt;",$N$60:$N$65,BD61)+SUMIFS($L$60:$L$65,$I$60:$I$65,BD61,$K$60:$K$65,"&lt;&gt;",$L$60:$L$65,"&lt;&gt;",$N$60:$N$65,$AY63)</f>
        <v>2</v>
      </c>
      <c r="BE63" s="73" t="n">
        <v>0</v>
      </c>
      <c r="BF63" s="73" t="n">
        <f aca="false" t="array" ref="BF63:BF63">SUMIFS($K$60:$K$65,$I$60:$I$65,$AY63,$K$60:$K$65,"&lt;&gt;",$L$60:$L$65,"&lt;&gt;",$N$60:$N$65,BF61)+SUMIFS($L$60:$L$65,$I$60:$I$65,BF61,$K$60:$K$65,"&lt;&gt;",$L$60:$L$65,"&lt;&gt;",$N$60:$N$65,$AY63)</f>
        <v>0</v>
      </c>
      <c r="BG63" s="73" t="n">
        <f aca="false" t="array" ref="BG63:BG63">SUMIFS($K$60:$K$65,$I$60:$I$65,$AY63,$K$60:$K$65,"&lt;&gt;",$L$60:$L$65,"&lt;&gt;",$N$60:$N$65,BG61)+SUMIFS($L$60:$L$65,$I$60:$I$65,BG61,$K$60:$K$65,"&lt;&gt;",$L$60:$L$65,"&lt;&gt;",$N$60:$N$65,$AY63)</f>
        <v>3</v>
      </c>
      <c r="BH63" s="73" t="n">
        <f aca="false">RANK(BI63,BI62:BI65,1)</f>
        <v>1</v>
      </c>
      <c r="BI63" s="73" t="n">
        <f aca="false">SUM(IF(AND(AJ63=AJ64,AQ63=AQ64,AO63=AO64),BL63,0),IF(AND(AJ63=AJ65,AQ63=AQ65,AO63=AO65),BM63,0),IF(AND(AJ63=AJ62,AQ63=AQ62,AO63=AO62),BJ63,0))</f>
        <v>0</v>
      </c>
      <c r="BJ63" s="73" t="n">
        <f aca="false">BD63-BE62</f>
        <v>-1</v>
      </c>
      <c r="BK63" s="73" t="n">
        <v>0</v>
      </c>
      <c r="BL63" s="73" t="n">
        <f aca="false">BF63-BE64</f>
        <v>-2</v>
      </c>
      <c r="BM63" s="73" t="n">
        <f aca="false">BG63-BE65</f>
        <v>1</v>
      </c>
      <c r="BN63" s="73" t="n">
        <f aca="false">RANK(BO63,BO62:BO65,1)</f>
        <v>1</v>
      </c>
      <c r="BO63" s="73" t="n">
        <f aca="false">SUM(IF(AND(AJ63=AJ64,AQ63=AQ64,AO63=AO64),BR63,0),IF(AND(AJ63=AJ65,AQ63=AQ65,AO63=AO65),BS63,0),IF(AND(AJ63=AJ62,AQ63=AQ62,AO63=AO62),BP63,0))</f>
        <v>0</v>
      </c>
      <c r="BP63" s="73" t="n">
        <f aca="false" t="array" ref="BP63:BP63">SUM((I$4:I$65=AY63)*(N$4:N$65=BP61)*(K$4:K$65&lt;&gt;"")*(L$4:L$65&lt;&gt;"")*(K$4:K$65&gt;L$4:L$65)*3,(N$4:N$65=AY63)*(I$4:I$65=BP61)*(K$4:K$65&lt;&gt;"")*(L$4:L$65&lt;&gt;"")*(K$4:K$65=L$4:L$65)*1,(N$4:N$65=AY63)*(I$4:I$65=BP61)*(K$4:K$65&lt;&gt;"")*(L$4:L$65&lt;&gt;"")*(K$4:K$65&lt;L$4:L$65)*3,(I$4:I$65=AY63)*(N$4:N$65=BP61)*(K$4:K$65&lt;&gt;"")*(L$4:L$65&lt;&gt;"")*(K$4:K$65=L$4:L$65)*1)</f>
        <v>0</v>
      </c>
      <c r="BQ63" s="73" t="n">
        <v>0</v>
      </c>
      <c r="BR63" s="73" t="n">
        <f aca="false" t="array" ref="BR63:BR63">SUM((I$4:I$65=AY63)*(N$4:N$65=BR61)*(K$4:K$65&lt;&gt;"")*(L$4:L$65&lt;&gt;"")*(K$4:K$65&gt;L$4:L$65)*3,(N$4:N$65=AY63)*(I$4:I$65=BR61)*(K$4:K$65&lt;&gt;"")*(L$4:L$65&lt;&gt;"")*(K$4:K$65=L$4:L$65)*1,(N$4:N$65=AY63)*(I$4:I$65=BR61)*(K$4:K$65&lt;&gt;"")*(L$4:L$65&lt;&gt;"")*(K$4:K$65&lt;L$4:L$65)*3,(I$4:I$65=AY63)*(N$4:N$65=BR61)*(K$4:K$65&lt;&gt;"")*(L$4:L$65&lt;&gt;"")*(K$4:K$65=L$4:L$65)*1)</f>
        <v>0</v>
      </c>
      <c r="BS63" s="73" t="n">
        <f aca="false" t="array" ref="BS63:BS63">SUM((I$4:I$65=AY63)*(N$4:N$65=BS61)*(K$4:K$65&lt;&gt;"")*(L$4:L$65&lt;&gt;"")*(K$4:K$65&gt;L$4:L$65)*3,(N$4:N$65=AY63)*(I$4:I$65=BS61)*(K$4:K$65&lt;&gt;"")*(L$4:L$65&lt;&gt;"")*(K$4:K$65=L$4:L$65)*1,(N$4:N$65=AY63)*(I$4:I$65=BS61)*(K$4:K$65&lt;&gt;"")*(L$4:L$65&lt;&gt;"")*(K$4:K$65&lt;L$4:L$65)*3,(I$4:I$65=AY63)*(N$4:N$65=BS61)*(K$4:K$65&lt;&gt;"")*(L$4:L$65&lt;&gt;"")*(K$4:K$65=L$4:L$65)*1)</f>
        <v>3</v>
      </c>
      <c r="BT63" s="10" t="n">
        <v>2</v>
      </c>
      <c r="BU63" s="10" t="n">
        <f aca="false">RANK(BW63,$BW$62:$BW$65)</f>
        <v>4</v>
      </c>
      <c r="BV63" s="10" t="str">
        <f aca="false">A62</f>
        <v>Ghana</v>
      </c>
      <c r="BW63" s="10" t="n">
        <f aca="false">IF(AK63=0,-($AW$11*VLOOKUP(AI63,Tabla3[[NombreEquipo]:[Rank]],3,0)),AJ63*$AW$4+BA63+AQ63*$AW$8+AO63*$AW$9+AL63*$AW$10-($AW$11*VLOOKUP(AI63,Tabla3[[NombreEquipo]:[Rank]],3,0)/100))</f>
        <v>3333193099.7</v>
      </c>
      <c r="BX63" s="10" t="str">
        <f aca="false">VLOOKUP(Q63,$AH$62:$AI$65,2,0)</f>
        <v>Corea del Sur</v>
      </c>
      <c r="BY63" s="10" t="n">
        <f aca="false">VLOOKUP($BX63,$AI$62:$AR$65,10,0)</f>
        <v>4444212599.68</v>
      </c>
      <c r="CA63" s="10" t="n">
        <v>2</v>
      </c>
      <c r="CB63" s="10" t="str">
        <f aca="false">VLOOKUP(CA63,$AH$62:$AI$65,2,0)</f>
        <v>Corea del Sur</v>
      </c>
      <c r="CC63" s="10" t="n">
        <f aca="false">VLOOKUP(CB63,$AI$62:$AR$65,2,0)</f>
        <v>4</v>
      </c>
      <c r="CD63" s="74" t="n">
        <f aca="false">IF(SUM($AK$62:$AK$65)=12,MIN(ABS(BY62-BY63),ABS(BY63-BY64)),100)</f>
        <v>999.990000724793</v>
      </c>
      <c r="CE63" s="10" t="n">
        <f aca="false">VLOOKUP($CB63,$AI$62:$AR$65,9,0)</f>
        <v>0</v>
      </c>
      <c r="CF63" s="10" t="n">
        <f aca="false">VLOOKUP($CB63,$AI$62:$AR$65,7,0)</f>
        <v>4</v>
      </c>
      <c r="CH63" s="10" t="n">
        <f aca="false" t="array" ref="CH63:CH63">IF($CI$62=$CL$61,$EC$61:$EC$64,IF($CI$62=$CM$61,$ED$61:$ED$63,IF(OR($CI$62=$CN$61,$CI$62=$CO$61),$EE$61:$EE$62,IF($CI$62=$CP$61,$EF$61:$EF$63,(IF($CI$62=$CQ$61,$EH$61:$EH$62,$EJ$61))))))</f>
        <v>2</v>
      </c>
      <c r="CK63" s="11" t="n">
        <v>2</v>
      </c>
      <c r="CL63" s="11" t="n">
        <f aca="false" t="array" ref="CL63:CL63">IF(AND($CC$62:$CC$65=$CC$63,$CD$62:$CD$65&lt;90,$AQ$62:$AQ$65=$AQ$63,$CF$62:$CF$65=$CF$63),1,0)</f>
        <v>0</v>
      </c>
      <c r="CM63" s="11" t="n">
        <f aca="false" t="array" ref="CM63:CM63">IF(AND($CC$62:$CC$64=$CC$63,$CD$62:$CD$64&lt;90,$CC$63&lt;&gt;$CC$65),1,0)</f>
        <v>0</v>
      </c>
      <c r="CN63" s="11" t="n">
        <f aca="false" t="array" ref="CN63:CN63">IF(AND($CC$62:$CC$63=$CC$62,$CD$62:$CD$63&lt;90,$CC$62&lt;&gt;$CC$64),1,0)</f>
        <v>0</v>
      </c>
      <c r="CO63" s="11" t="n">
        <f aca="false" t="array" ref="CO63:CO63">IF(AND($CC$62:$CC$63=$CC$62,$CD$62:$CD$63&lt;90,$CC$62&lt;&gt;$CC$64),1,0)</f>
        <v>0</v>
      </c>
      <c r="CP63" s="11" t="n">
        <f aca="false" t="array" ref="CP63:CP63">IF(AND($CC$63:$CC$65=$CC$63,$CD$63:$CD$65&lt;90,$CC$62&lt;&gt;$CC$63),1,0)</f>
        <v>0</v>
      </c>
      <c r="CQ63" s="11" t="n">
        <f aca="false" t="array" ref="CQ63:CQ63">IF(AND($CC$63:$CC$64=$CC$63,$CD$63:$CD$64&lt;90,$CC$63&lt;&gt;$CC$62,$CC$63&lt;&gt;$CC$65),1,0)</f>
        <v>0</v>
      </c>
      <c r="CR63" s="11" t="n">
        <f aca="false" t="array" ref="CR63:CR63">IF(AND($CC$63&lt;&gt;$CC$62,$CC$63&lt;&gt;$CC$64),1,0)</f>
        <v>0</v>
      </c>
      <c r="CS63" s="11" t="n">
        <f aca="false" t="array" ref="CS63:CS63">IF(AND($CC$63&lt;&gt;$CC$62,$CC$63&lt;&gt;$CC$64),1,0)</f>
        <v>0</v>
      </c>
      <c r="CT63" s="11" t="n">
        <f aca="false" t="array" ref="CT63:CT63">IF(AND($CC$62:$CC$65=$CC$62,$CD$62:$CD$65&lt;90,$CE$62:$CE$63=$CE$62,$CE$63&lt;&gt;$CE$64),1,0)</f>
        <v>0</v>
      </c>
      <c r="CU63" s="11" t="n">
        <f aca="false" t="array" ref="CU63:CU63">IF(AND($CC$62:$CC$65=$CC$62,$CD$62:$CD$65&lt;90,$CE$62:$CE$65=$CE$62,$CF$62=$CF$63,$CF$63&lt;&gt;$CF$64),1,0)</f>
        <v>0</v>
      </c>
      <c r="CV63" s="11" t="n">
        <f aca="false" t="array" ref="CV63:CV63">IF(AND($CC$62:$CC$64=$CC$63,$CD$62:$CD$63&lt;90,$CD$64&gt;90),1,0)</f>
        <v>0</v>
      </c>
      <c r="CW63" s="11" t="n">
        <f aca="false" t="array" ref="CW63:CW63">IF(AND($CC$63&lt;&gt;$CC$62,$CC$63:$CC$65=$CC$63,$CD$63&gt;90,$CD$64:$CD$65&lt;90),1,0)</f>
        <v>0</v>
      </c>
      <c r="CX63" s="11" t="n">
        <f aca="false" t="array" ref="CX63:CX63">IF(AND($CC$63&lt;&gt;$CC$62,$CC$63:$CC$65=$CC$63,$CD$65&gt;90,$CD$63:$CD$64&lt;90),1,0)</f>
        <v>0</v>
      </c>
      <c r="CY63" s="11" t="n">
        <f aca="false" t="array" ref="CY63:CY63">IF(AND($CC$63&lt;&gt;$CC$65,$CC$62:$CC$64=$CC$63,$CD$62&gt;90,$CD$63:$CD$64&lt;90),1,0)</f>
        <v>0</v>
      </c>
      <c r="CZ63" s="11" t="n">
        <f aca="false" t="array" ref="CZ63:CZ63">IF(AND($CC$62:$CC$65=$CC$63,$CD$63:$CD$65&lt;90,$CD$62&lt;&gt;$CD$63),1,0)</f>
        <v>0</v>
      </c>
      <c r="DA63" s="11" t="n">
        <f aca="false" t="array" ref="DA63:DA63">IF(AND($CC$62:$CC$65=$CC$63,$CD$62:$CD$64&lt;90,$CD$63&lt;&gt;$CD$65),1,0)</f>
        <v>0</v>
      </c>
      <c r="DB63" s="11" t="n">
        <f aca="false" t="array" ref="DB63:DB63">IF(AND($CC$62:$CC$65=$CC$63,$CD$62:$CD$63&gt;90,$CD$64:$CD$65&lt;90,$CE$62:$CE$65=$CE$63,$CF$62&gt;$CF$63,$CF$63&gt;$CF$64,$CF$63&gt;$CF$65),1,0)</f>
        <v>0</v>
      </c>
      <c r="DC63" s="11" t="n">
        <f aca="false" t="array" ref="DC63:DC63">IF(AND($CC$62:$CC$65=$CC$63,$CD$62&gt;90,$CD$63:$CD$64&lt;90,$CD$65&gt;90,$CE$62:$CE$65=$CE$63,$CF$62&gt;$CF$63,$CF$63=$CF$64,$CF$63&gt;$CF$65),1,0)</f>
        <v>0</v>
      </c>
      <c r="DD63" s="11" t="n">
        <f aca="false" t="array" ref="DD63:DD63">IF(AND($CC$62:$CC$65=$CC$63,$CD$62:$CD$63&lt;90,$CD$64:$CD$65&gt;90,$CE$62:$CE$65=$CE$63,$CF$62=$CF$63,$CF$63&gt;$CF$64,$CF$63&gt;$CF$65),1,0)</f>
        <v>0</v>
      </c>
      <c r="DE63" s="11" t="n">
        <f aca="false" t="array" ref="DE63:DE63">IF(AND($CC$62:$CC$65=$CC$63,$CD$62:$CD$63&gt;90,$CD$64:$CD$65&lt;90,$CE$62:$CE$65=$CE$63,$CF$62&gt;$CF$63,$CF$63:$CF$65=$CF$63),1,0)</f>
        <v>0</v>
      </c>
      <c r="DF63" s="11" t="n">
        <f aca="false" t="array" ref="DF63:DF63">IF(AND($CC$62:$CC$65=$CC$63,$CD$62:$CD$63&lt;90,$CD$64:$CD$65&gt;90,$CE$62:$CE$65=$CE$63,$CF$62:$CF$64=$CF$63,$CF$63&gt;$CF$65),1,0)</f>
        <v>0</v>
      </c>
      <c r="DG63" s="11" t="n">
        <f aca="false" t="array" ref="DG63:DG63">IF(AND($CC$62:$CC$65=$CC$63,$CD$62&gt;90,$CD$65&gt;90,$CD$63:$CD$64&lt;90,$CE$62:$CE$65=$CE$63,$CF$62&gt;$CF$63:$CF$65,$CF$63:$CF$65=$CF$63),1,0)</f>
        <v>0</v>
      </c>
      <c r="EC63" s="10" t="n">
        <v>3</v>
      </c>
      <c r="ED63" s="10" t="n">
        <v>3</v>
      </c>
      <c r="EE63" s="10"/>
      <c r="EF63" s="10" t="n">
        <v>4</v>
      </c>
      <c r="EG63" s="10"/>
      <c r="EH63" s="10"/>
      <c r="EI63" s="10"/>
      <c r="EJ63" s="10"/>
      <c r="EK63" s="10"/>
      <c r="EL63" s="10"/>
      <c r="FI63" s="73"/>
      <c r="FK63" s="73"/>
      <c r="FM63" s="73"/>
    </row>
    <row r="64" customFormat="false" ht="15" hidden="false" customHeight="true" outlineLevel="0" collapsed="false">
      <c r="A64" s="32" t="str">
        <f aca="true" t="array" ref="A64:A64">IF(ROWS(A$61:A64)&lt;=$C$60,INDEX(INDIRECT(A$60),SMALL(IF(Nivell=$B$60,ROW(Nivell)-ROW(Equipos!$C$2)+1),ROWS(B$60:B63))),"")</f>
        <v>Corea del Sur</v>
      </c>
      <c r="B64" s="33"/>
      <c r="C64" s="75"/>
      <c r="D64" s="35"/>
      <c r="E64" s="334"/>
      <c r="F64" s="343" t="n">
        <f aca="false">Horarios!C64</f>
        <v>44897.75</v>
      </c>
      <c r="G64" s="344" t="n">
        <f aca="false">Horarios!C64</f>
        <v>44897.75</v>
      </c>
      <c r="H64" s="343" t="s">
        <v>77</v>
      </c>
      <c r="I64" s="345" t="str">
        <f aca="false">A62</f>
        <v>Ghana</v>
      </c>
      <c r="J64" s="346" t="str">
        <f aca="false">VLOOKUP(I64,Equipos!$H$2:$I$33,2,0)</f>
        <v>🇬🇭</v>
      </c>
      <c r="K64" s="347" t="n">
        <v>0</v>
      </c>
      <c r="L64" s="347" t="n">
        <v>2</v>
      </c>
      <c r="M64" s="348" t="str">
        <f aca="false">VLOOKUP(N64,Equipos!$H$2:$I$33,2,0)</f>
        <v>🇺🇾</v>
      </c>
      <c r="N64" s="349" t="str">
        <f aca="false">A63</f>
        <v>Uruguay</v>
      </c>
      <c r="O64" s="44" t="n">
        <f aca="false">IF(NOT(OR(ISBLANK(K64),ISBLANK(L64))),1,0)</f>
        <v>1</v>
      </c>
      <c r="P64" s="45"/>
      <c r="Q64" s="358" t="n">
        <v>3</v>
      </c>
      <c r="R64" s="77" t="str">
        <f aca="false">VLOOKUP(Q64,$AG$62:$AI$65,3,0)</f>
        <v>Uruguay</v>
      </c>
      <c r="S64" s="78" t="n">
        <f aca="false">VLOOKUP(R64,$AI$62:$AR$65,2,0)</f>
        <v>4</v>
      </c>
      <c r="T64" s="78" t="n">
        <f aca="false">VLOOKUP($R64,$AI$62:$AR$65,3,0)</f>
        <v>3</v>
      </c>
      <c r="U64" s="78" t="n">
        <f aca="false">VLOOKUP($R64,$AI$62:$AR$65,4,0)</f>
        <v>1</v>
      </c>
      <c r="V64" s="78" t="n">
        <f aca="false">VLOOKUP($R64,$AI$62:$AR$65,5,0)</f>
        <v>1</v>
      </c>
      <c r="W64" s="78" t="n">
        <f aca="false">VLOOKUP($R64,$AI$62:$AR$65,6,0)</f>
        <v>1</v>
      </c>
      <c r="X64" s="78" t="n">
        <f aca="false">VLOOKUP($R64,$AI$62:$AR$65,7,0)</f>
        <v>2</v>
      </c>
      <c r="Y64" s="78" t="n">
        <f aca="false">VLOOKUP($R64,$AI$62:$AR$65,8,0)</f>
        <v>2</v>
      </c>
      <c r="Z64" s="359" t="n">
        <f aca="false">VLOOKUP($R64,$AI$62:$AR$65,9,0)</f>
        <v>0</v>
      </c>
      <c r="AA64" s="67" t="n">
        <f aca="false">IF(SUM($AK$62:$AK$65)=12,MIN(ABS(BY63-BY64),ABS(BY64-BY65)),100)</f>
        <v>999.990000724793</v>
      </c>
      <c r="AB64" s="68" t="str">
        <f aca="false">IF(AND(AA64&gt;=0,AA64&lt;90),VLOOKUP(Q64,$BU$62:$BV$65,2,0),"")</f>
        <v/>
      </c>
      <c r="AC64" s="69"/>
      <c r="AD64" s="70"/>
      <c r="AE64" s="71"/>
      <c r="AF64" s="24" t="n">
        <f aca="false">VLOOKUP($R64,$AI$62:$AR$65,10,0)</f>
        <v>4444211599.69</v>
      </c>
      <c r="AG64" s="11" t="n">
        <f aca="false">RANK(AU64,$AU$62:$AU$65)</f>
        <v>3</v>
      </c>
      <c r="AH64" s="11" t="n">
        <f aca="false">RANK(AR64,$AR$62:$AR$65)</f>
        <v>3</v>
      </c>
      <c r="AI64" s="10" t="str">
        <f aca="false">A63</f>
        <v>Uruguay</v>
      </c>
      <c r="AJ64" s="11" t="n">
        <f aca="false">AL64*3+AM64*1+AN64*0</f>
        <v>4</v>
      </c>
      <c r="AK64" s="11" t="n">
        <f aca="false">COUNTIFS($I$4:$I$65,AI64,$K$4:$K$65,"&lt;&gt;",$L$4:$L$65,"&lt;&gt;")+COUNTIFS($N$4:$N$65,AI64,$L$4:$L$65,"&lt;&gt;",$K$4:$K$65,"&lt;&gt;")</f>
        <v>3</v>
      </c>
      <c r="AL64" s="11" t="n">
        <f aca="false" t="array" ref="AL64:AL64">SUM(($I$4:$I$65=AI64)*($K$4:$K$65&lt;&gt;"")*($L$4:$L$65&lt;&gt;"")*($K$4:$K$65&gt;$L$4:$L$65),($N$4:$N$65=AI64)*($K$4:$K$65&lt;&gt;"")*($L$4:$L$65&lt;&gt;"")*($K$4:$K$65&lt;$L$4:$L$65))</f>
        <v>1</v>
      </c>
      <c r="AM64" s="11" t="n">
        <f aca="false" t="array" ref="AM64:AM64">SUM(($I$4:$I$65=AI64)*($K$4:$K$65&lt;&gt;"")*($L$4:$L$65&lt;&gt;"")*($K$4:$K$65=$L$4:$L$65),($N$4:$N$65=AI64)*($K$4:$K$65&lt;&gt;"")*($L$4:$L$65&lt;&gt;"")*($K$4:$K$65=$L$4:$L$65))</f>
        <v>1</v>
      </c>
      <c r="AN64" s="11" t="n">
        <f aca="false" t="array" ref="AN64:AN64">SUM(($I$4:$I$65=AI64)*($L$4:$L$65&lt;&gt;"")*($K$4:$K$65&lt;&gt;"")*($K$4:$K$65&lt;$L$4:$L$65),($K$4:$K$65&lt;&gt;"")*($N$4:$N$65=AI64)*($L$4:$L$65&lt;&gt;"")*($K$4:$K$65&gt;$L$4:$L$65))</f>
        <v>1</v>
      </c>
      <c r="AO64" s="11" t="n">
        <f aca="false" t="array" ref="AO64:AO64">SUMIFS($K$4:$K$65,$I$4:$I$65,AI64,$K$4:$K$65,"&lt;&gt;",$L$4:$L$65,"&lt;&gt;")+SUMIFS($L$4:$L$65,$N$4:$N$65,AI64,$K$4:$K$65,"&lt;&gt;",$L$4:$L$65,"&lt;&gt;")</f>
        <v>2</v>
      </c>
      <c r="AP64" s="11" t="n">
        <f aca="false" t="array" ref="AP64:AP64">SUMIFS($K$4:$K$65,$N$4:$N$65,AI64,$K$4:$K$65,"&lt;&gt;",$L$4:$L$65,"&lt;&gt;")+SUMIFS($L$4:$L$65,$I$4:$I$65,AI64,$K$4:$K$65,"&lt;&gt;",$L$4:$L$65,"&lt;&gt;")</f>
        <v>2</v>
      </c>
      <c r="AQ64" s="11" t="n">
        <f aca="false">AO64-AP64</f>
        <v>0</v>
      </c>
      <c r="AR64" s="11" t="n">
        <f aca="false">IF(AK64=0,-($AW$11*VLOOKUP(AI64,Tabla3[[NombreEquipo]:[Rank]],3,0)),AJ64*$AW$4+BA64+AQ64*$AW$8+AO64*$AW$9+AL64*$AW$10-($AW$11*VLOOKUP(AI64,Tabla3[[NombreEquipo]:[Rank]],3,0)/100))</f>
        <v>4444211599.69</v>
      </c>
      <c r="AS64" s="11" t="n">
        <f aca="false">AH64</f>
        <v>3</v>
      </c>
      <c r="AT64" s="11"/>
      <c r="AU64" s="11" t="n">
        <f aca="false">IFERROR(AR64-VLOOKUP(AI64,$AB$62:$AC$65,2,0),AR64)</f>
        <v>4444211599.69</v>
      </c>
      <c r="AV64" s="11"/>
      <c r="AX64" s="11"/>
      <c r="AY64" s="72" t="str">
        <f aca="false">AI64</f>
        <v>Uruguay</v>
      </c>
      <c r="AZ64" s="11" t="n">
        <f aca="false">COUNTIF(AJ62:AJ65,AJ64)</f>
        <v>2</v>
      </c>
      <c r="BA64" s="11" t="n">
        <f aca="false">(BB64*$AW$9)+(BH64*$AW$8)+(BN64*$AW$7)</f>
        <v>210500</v>
      </c>
      <c r="BB64" s="73" t="n">
        <f aca="false">RANK(BC64,BC62:BC65,1)</f>
        <v>1</v>
      </c>
      <c r="BC64" s="73" t="n">
        <f aca="false">SUM(IF(AND(AJ64=AJ65,AQ64=AQ65,AO64=AO65),BG64,0),IF(AND(AJ64=AJ62,AQ64=AQ62,AO64=AO62),BD64,0),IF(AND(AJ64=AJ63,AQ64=AQ63,AO64=AO63),BE64,0))</f>
        <v>0</v>
      </c>
      <c r="BD64" s="73" t="n">
        <f aca="false" t="array" ref="BD64:BD64">SUMIFS($K$60:$K$65,$I$60:$I$65,$AY64,$K$60:$K$65,"&lt;&gt;",$L$60:$L$65,"&lt;&gt;",$N$60:$N$65,BD61)+SUMIFS($L$60:$L$65,$I$60:$I$65,BD61,$K$60:$K$65,"&lt;&gt;",$L$60:$L$65,"&lt;&gt;",$N$60:$N$65,$AY64)</f>
        <v>0</v>
      </c>
      <c r="BE64" s="73" t="n">
        <f aca="false" t="array" ref="BE64:BE64">SUMIFS($K$60:$K$65,$I$60:$I$65,$AY64,$K$60:$K$65,"&lt;&gt;",$L$60:$L$65,"&lt;&gt;",$N$60:$N$65,BE61)+SUMIFS($L$60:$L$65,$I$60:$I$65,BE61,$K$60:$K$65,"&lt;&gt;",$L$60:$L$65,"&lt;&gt;",$N$60:$N$65,$AY64)</f>
        <v>2</v>
      </c>
      <c r="BF64" s="73" t="n">
        <v>0</v>
      </c>
      <c r="BG64" s="73" t="n">
        <f aca="false" t="array" ref="BG64:BG64">SUMIFS($K$60:$K$65,$I$60:$I$65,$AY64,$K$60:$K$65,"&lt;&gt;",$L$60:$L$65,"&lt;&gt;",$N$60:$N$65,BG61)+SUMIFS($L$60:$L$65,$I$60:$I$65,BG61,$K$60:$K$65,"&lt;&gt;",$L$60:$L$65,"&lt;&gt;",$N$60:$N$65,$AY64)</f>
        <v>0</v>
      </c>
      <c r="BH64" s="73" t="n">
        <f aca="false">RANK(BI64,BI62:BI65,1)</f>
        <v>1</v>
      </c>
      <c r="BI64" s="73" t="n">
        <f aca="false">SUM(IF(AND(AJ64=AJ65,AQ64=AQ65,AO64=AO65),BM64,0),IF(AND(AJ64=AJ62,AQ64=AQ62,AO64=AO62),BJ64,0),IF(AND(AJ64=AJ63,AQ64=AQ63,AO64=AO63),BK64,0))</f>
        <v>0</v>
      </c>
      <c r="BJ64" s="73" t="n">
        <f aca="false">BD64-BF62</f>
        <v>-2</v>
      </c>
      <c r="BK64" s="73" t="n">
        <f aca="false">BE64-BF63</f>
        <v>2</v>
      </c>
      <c r="BL64" s="73" t="n">
        <v>0</v>
      </c>
      <c r="BM64" s="73" t="n">
        <f aca="false">BG64-BF65</f>
        <v>0</v>
      </c>
      <c r="BN64" s="73" t="n">
        <f aca="false">RANK(BO64,BO62:BO65,1)</f>
        <v>1</v>
      </c>
      <c r="BO64" s="73" t="n">
        <f aca="false">SUM(IF(AND(AJ64=AJ65,AQ64=AQ65,AO64=AO65),BS64,0),IF(AND(AJ64=AJ62,AQ64=AQ62,AO64=AO62),BP64,0),IF(AND(AJ64=AJ63,AQ64=AQ63,AO64=AO63),BQ64,0))</f>
        <v>0</v>
      </c>
      <c r="BP64" s="73" t="n">
        <f aca="false" t="array" ref="BP64:BP64">SUM((I$4:I$65=AY64)*(N$4:N$65=BP61)*(K$4:K$65&lt;&gt;"")*(L$4:L$65&lt;&gt;"")*(K$4:K$65&gt;L$4:L$65)*3,(N$4:N$65=AY64)*(I$4:I$65=BP61)*(K$4:K$65&lt;&gt;"")*(L$4:L$65&lt;&gt;"")*(K$4:K$65=L$4:L$65)*1,(N$4:N$65=AY64)*(I$4:I$65=BP61)*(K$4:K$65&lt;&gt;"")*(L$4:L$65&lt;&gt;"")*(K$4:K$65&lt;L$4:L$65)*3,(I$4:I$65=AY64)*(N$4:N$65=BP61)*(K$4:K$65&lt;&gt;"")*(L$4:L$65&lt;&gt;"")*(K$4:K$65=L$4:L$65)*1)</f>
        <v>0</v>
      </c>
      <c r="BQ64" s="73" t="n">
        <f aca="false" t="array" ref="BQ64:BQ64">SUM((I$4:I$65=AY64)*(N$4:N$65=BQ61)*(K$4:K$65&lt;&gt;"")*(L$4:L$65&lt;&gt;"")*(K$4:K$65&gt;L$4:L$65)*3,(N$4:N$65=AY64)*(I$4:I$65=BQ61)*(K$4:K$65&lt;&gt;"")*(L$4:L$65&lt;&gt;"")*(K$4:K$65=L$4:L$65)*1,(N$4:N$65=AY64)*(I$4:I$65=BQ61)*(K$4:K$65&lt;&gt;"")*(L$4:L$65&lt;&gt;"")*(K$4:K$65&lt;L$4:L$65)*3,(I$4:I$65=AY64)*(N$4:N$65=BQ61)*(K$4:K$65&lt;&gt;"")*(L$4:L$65&lt;&gt;"")*(K$4:K$65=L$4:L$65)*1)</f>
        <v>3</v>
      </c>
      <c r="BR64" s="73" t="n">
        <v>0</v>
      </c>
      <c r="BS64" s="73" t="n">
        <f aca="false" t="array" ref="BS64:BS64">SUM((I$4:I$65=AY64)*(N$4:N$65=BS61)*(K$4:K$65&lt;&gt;"")*(L$4:L$65&lt;&gt;"")*(K$4:K$65&gt;L$4:L$65)*3,(N$4:N$65=AY64)*(I$4:I$65=BS61)*(K$4:K$65&lt;&gt;"")*(L$4:L$65&lt;&gt;"")*(K$4:K$65=L$4:L$65)*1,(N$4:N$65=AY64)*(I$4:I$65=BS61)*(K$4:K$65&lt;&gt;"")*(L$4:L$65&lt;&gt;"")*(K$4:K$65&lt;L$4:L$65)*3,(I$4:I$65=AY64)*(N$4:N$65=BS61)*(K$4:K$65&lt;&gt;"")*(L$4:L$65&lt;&gt;"")*(K$4:K$65=L$4:L$65)*1)</f>
        <v>1</v>
      </c>
      <c r="BT64" s="10" t="n">
        <v>3</v>
      </c>
      <c r="BU64" s="10" t="n">
        <f aca="false">RANK(BW64,$BW$62:$BW$65)</f>
        <v>3</v>
      </c>
      <c r="BV64" s="10" t="str">
        <f aca="false">A63</f>
        <v>Uruguay</v>
      </c>
      <c r="BW64" s="10" t="n">
        <f aca="false">IF(AK64=0,-($AW$11*VLOOKUP(AI64,Tabla3[[NombreEquipo]:[Rank]],3,0)),AJ64*$AW$4+BA64+AQ64*$AW$8+AO64*$AW$9+AL64*$AW$10-($AW$11*VLOOKUP(AI64,Tabla3[[NombreEquipo]:[Rank]],3,0)/100))</f>
        <v>4444211599.69</v>
      </c>
      <c r="BX64" s="10" t="str">
        <f aca="false">VLOOKUP(Q64,$AH$62:$AI$65,2,0)</f>
        <v>Uruguay</v>
      </c>
      <c r="BY64" s="10" t="n">
        <f aca="false">VLOOKUP($BX64,$AI$62:$AR$65,10,0)</f>
        <v>4444211599.69</v>
      </c>
      <c r="CA64" s="10" t="n">
        <v>3</v>
      </c>
      <c r="CB64" s="10" t="str">
        <f aca="false">VLOOKUP(CA64,$AH$62:$AI$65,2,0)</f>
        <v>Uruguay</v>
      </c>
      <c r="CC64" s="10" t="n">
        <f aca="false">VLOOKUP(CB64,$AI$62:$AR$65,2,0)</f>
        <v>4</v>
      </c>
      <c r="CD64" s="74" t="n">
        <f aca="false">IF(SUM($AK$62:$AK$65)=12,MIN(ABS(BY63-BY64),ABS(BY64-BY65)),100)</f>
        <v>999.990000724793</v>
      </c>
      <c r="CE64" s="10" t="n">
        <f aca="false">VLOOKUP($CB64,$AI$62:$AR$65,9,0)</f>
        <v>0</v>
      </c>
      <c r="CF64" s="10" t="n">
        <f aca="false">VLOOKUP($CB64,$AI$62:$AR$65,7,0)</f>
        <v>2</v>
      </c>
      <c r="CH64" s="10" t="n">
        <f aca="false" t="array" ref="CH64:CH64">IF($CI$62=$CL$61,$EC$61:$EC$64,IF($CI$62=$CM$61,$ED$61:$ED$63,IF(OR($CI$62=$CN$61,$CI$62=$CR$61),$EG$61:$EG$62,IF($CI$62=$CP$61,$EF$61:$EF$63,(IF($CI$62=$CQ$61,$EH$61:$EH$62,$EK$61))))))</f>
        <v>3</v>
      </c>
      <c r="CK64" s="11" t="n">
        <v>3</v>
      </c>
      <c r="CL64" s="11" t="n">
        <f aca="false" t="array" ref="CL64:CL64">IF(AND($CC$62:$CC$65=$CC$64,$CD$62:$CD$65&lt;90,$AQ$62:$AQ$65=$AQ$64,$CF$62:$CF$65=$CF$64),1,0)</f>
        <v>0</v>
      </c>
      <c r="CM64" s="11" t="n">
        <f aca="false" t="array" ref="CM64:CM64">IF(AND($CC$62:$CC$64=$CC$64,$CD$62:$CD$64&lt;90,$CC$64&lt;&gt;$CC$65),1,0)</f>
        <v>0</v>
      </c>
      <c r="CN64" s="11" t="n">
        <f aca="false" t="array" ref="CN64:CN64">IF(AND($CC$64:$CC$65=$CC$64,$CD$64:$CD$65&lt;90,$CC$64&lt;&gt;$CC$63),1,0)</f>
        <v>0</v>
      </c>
      <c r="CO64" s="11" t="n">
        <f aca="false" t="array" ref="CO64:CO64">IF(OR(AND($CC$64&lt;&gt;$CC$63,$CC$64&lt;&gt;$CC$65),AND($CC$64&lt;&gt;$CC$63,$CC$64=$CC$65,$CD$64&gt;90,$CD$65&gt;90)),1,0)</f>
        <v>0</v>
      </c>
      <c r="CP64" s="11" t="n">
        <f aca="false" t="array" ref="CP64:CP64">IF(AND($CC$63:$CC$65=$CC$63,$CD$63:$CD$65&lt;90,$CC$62&lt;&gt;$CC$64),1,0)</f>
        <v>0</v>
      </c>
      <c r="CQ64" s="11" t="n">
        <f aca="false" t="array" ref="CQ64:CQ64">IF(AND($CC$63:$CC$64=$CC$64,$CD$63:$CD$64&lt;90,$CC$64&lt;&gt;$CC$62,$CC$64&lt;&gt;$CC$65),1,0)</f>
        <v>0</v>
      </c>
      <c r="CR64" s="11" t="n">
        <f aca="false" t="array" ref="CR64:CR64">IF(AND($CC$64:$CC$65=$CC$64,$CD$64:$CD$65&lt;90,$CC$64&lt;&gt;$CC$63),1,0)</f>
        <v>0</v>
      </c>
      <c r="CS64" s="11" t="n">
        <f aca="false" t="array" ref="CS64:CS64">IF(AND($CC$64&lt;&gt;$CC$63,$CC$64&lt;&gt;$CC$65),1,0)</f>
        <v>0</v>
      </c>
      <c r="CT64" s="11" t="n">
        <f aca="false" t="array" ref="CT64:CT64">IF(AND($CC$62:$CC$65=$CC$62,$CD$62:$CD$65&lt;90,$CE$64:$CE$65=$CE$64,$CE$63&lt;&gt;$CE$64),1,0)</f>
        <v>0</v>
      </c>
      <c r="CU64" s="11" t="n">
        <f aca="false" t="array" ref="CU64:CU64">IF(AND($CC$62:$CC$65=$CC$62,$CD$62:$CD$65&lt;90,$CE$62:$CE$65=$CE$62,$CF$64=$CF$65,$CF$63&lt;&gt;$CF$64),1,0)</f>
        <v>0</v>
      </c>
      <c r="CV64" s="11" t="n">
        <f aca="false" t="array" ref="CV64:CV64">IF(AND($CC$62:$CC$64=$CC$64,$CD$62:$CD$63&lt;90,$CD$64&gt;90),1,0)</f>
        <v>0</v>
      </c>
      <c r="CW64" s="11" t="n">
        <f aca="false" t="array" ref="CW64:CW64">IF(AND($CC$63&lt;&gt;$CC$62,$CC$63:$CC$65=$CC$64,$CD$63&gt;90,$CD$64:$CD$65&lt;90),1,0)</f>
        <v>0</v>
      </c>
      <c r="CX64" s="11" t="n">
        <f aca="false" t="array" ref="CX64:CX64">IF(AND($CC$63&lt;&gt;$CC$62,$CC$63:$CC$65=$CC$63,$CD$65&gt;90,$CD$63:$CD$64&lt;90),1,0)</f>
        <v>0</v>
      </c>
      <c r="CY64" s="11" t="n">
        <f aca="false" t="array" ref="CY64:CY64">IF(AND($CC$64&lt;&gt;$CC$65,$CC$62:$CC$64=$CC$64,$CD$62&gt;90,$CD$63:$CD$64&lt;90),1,0)</f>
        <v>0</v>
      </c>
      <c r="CZ64" s="11" t="n">
        <f aca="false" t="array" ref="CZ64:CZ64">IF(AND($CC$62:$CC$65=$CC$63,$CD$63:$CD$65&lt;90,$CD$62&lt;&gt;$CD$64),1,0)</f>
        <v>0</v>
      </c>
      <c r="DA64" s="11" t="n">
        <f aca="false" t="array" ref="DA64:DA64">IF(AND($CC$62:$CC$65=$CC$64,$CD$62:$CD$64&lt;90,$CD$64&lt;&gt;$CD$65),1,0)</f>
        <v>0</v>
      </c>
      <c r="DB64" s="11" t="n">
        <f aca="false" t="array" ref="DB64:DB64">IF(AND($CC$62:$CC$65=$CC$64,$CD$62:$CD$63&gt;90,$CD$64:$CD$65&lt;90,$CE$62:$CE$65=$CE$64,$CF$62&gt;$CF$63,$CF$63&gt;$CF$64,$CF$64=$CF$65),1,0)</f>
        <v>0</v>
      </c>
      <c r="DC64" s="11" t="n">
        <f aca="false" t="array" ref="DC64:DC64">IF(AND($CC$62:$CC$65=$CC$64,$CD$62&gt;90,$CD$63:$CD$64&lt;90,$CD$65&gt;90,$CE$62:$CE$65=$CE$64,$CF$62&gt;$CF$63,$CF$63=$CF$64,$CF$64&gt;$CF$65),1,0)</f>
        <v>0</v>
      </c>
      <c r="DD64" s="11" t="n">
        <f aca="false" t="array" ref="DD64:DD64">IF(AND($CC$62:$CC$65=$CC$64,$CD$62:$CD$63&lt;90,$CD$64:$CD$65&gt;90,$CE$62:$CE$65=$CE$64,$CF$62=$CF$63,$CF$63&gt;$CF$64,$CF$64&gt;$CF$65),1,0)</f>
        <v>0</v>
      </c>
      <c r="DE64" s="11" t="n">
        <f aca="false" t="array" ref="DE64:DE64">IF(AND($CC$62:$CC$65=$CC$64,$CD$62:$CD$63&gt;90,$CD$64:$CD$65&lt;90,$CE$62:$CE$65=$CE$63,$CF$62&gt;$CF$64,$CF$63:$CF$65=$CF$64),1,0)</f>
        <v>0</v>
      </c>
      <c r="DF64" s="11" t="n">
        <f aca="false" t="array" ref="DF64:DF64">IF(AND($CC$62:$CC$65=$CC$64,$CD$62:$CD$63&lt;90,$CD$64:$CD$65&gt;90,$CE$62:$CE$65=$CE$64,$CF$62:$CF$64=$CF$64,$CF$64&gt;$CF$65),1,0)</f>
        <v>0</v>
      </c>
      <c r="DG64" s="11" t="n">
        <f aca="false" t="array" ref="DG64:DG64">IF(AND($CC$62:$CC$65=$CC$64,$CD$62&gt;90,$CD$65&gt;90,$CD$63:$CD$64&lt;90,$CE$62:$CE$65=$CE$64,$CF$62&gt;$CF$63:$CF$65,$CF$63:$CF$65=$CF$64),1,0)</f>
        <v>0</v>
      </c>
      <c r="EC64" s="10" t="n">
        <v>4</v>
      </c>
      <c r="ED64" s="10"/>
      <c r="EE64" s="10"/>
      <c r="EF64" s="10"/>
      <c r="EG64" s="10"/>
      <c r="EH64" s="10"/>
      <c r="EI64" s="10"/>
      <c r="EJ64" s="10"/>
      <c r="EK64" s="10"/>
      <c r="EL64" s="10"/>
      <c r="FI64" s="73"/>
      <c r="FK64" s="73"/>
      <c r="FM64" s="73"/>
    </row>
    <row r="65" s="24" customFormat="true" ht="15" hidden="false" customHeight="true" outlineLevel="0" collapsed="false">
      <c r="A65" s="12"/>
      <c r="B65" s="12"/>
      <c r="C65" s="12"/>
      <c r="D65" s="35"/>
      <c r="E65" s="334"/>
      <c r="F65" s="360" t="n">
        <f aca="false">Horarios!C65</f>
        <v>44897.75</v>
      </c>
      <c r="G65" s="361" t="n">
        <f aca="false">Horarios!C65</f>
        <v>44897.75</v>
      </c>
      <c r="H65" s="360" t="s">
        <v>77</v>
      </c>
      <c r="I65" s="362" t="str">
        <f aca="false">A64</f>
        <v>Corea del Sur</v>
      </c>
      <c r="J65" s="363" t="str">
        <f aca="false">VLOOKUP(I65,Equipos!$H$2:$I$33,2,0)</f>
        <v>🇰🇷</v>
      </c>
      <c r="K65" s="364" t="n">
        <v>2</v>
      </c>
      <c r="L65" s="364" t="n">
        <v>1</v>
      </c>
      <c r="M65" s="365" t="str">
        <f aca="false">VLOOKUP(N65,Equipos!$H$2:$I$33,2,0)</f>
        <v>🇵🇹</v>
      </c>
      <c r="N65" s="366" t="str">
        <f aca="false">A61</f>
        <v>Portugal</v>
      </c>
      <c r="O65" s="44" t="n">
        <f aca="false">IF(NOT(OR(ISBLANK(K65),ISBLANK(L65))),1,0)</f>
        <v>1</v>
      </c>
      <c r="P65" s="45"/>
      <c r="Q65" s="367" t="n">
        <v>4</v>
      </c>
      <c r="R65" s="368" t="str">
        <f aca="false">VLOOKUP(Q65,$AG$62:$AI$65,3,0)</f>
        <v>Ghana</v>
      </c>
      <c r="S65" s="369" t="n">
        <f aca="false">VLOOKUP(R65,$AI$62:$AR$65,2,0)</f>
        <v>3</v>
      </c>
      <c r="T65" s="369" t="n">
        <f aca="false">VLOOKUP($R65,$AI$62:$AR$65,3,0)</f>
        <v>3</v>
      </c>
      <c r="U65" s="369" t="n">
        <f aca="false">VLOOKUP($R65,$AI$62:$AR$65,4,0)</f>
        <v>1</v>
      </c>
      <c r="V65" s="369" t="n">
        <f aca="false">VLOOKUP($R65,$AI$62:$AR$65,5,0)</f>
        <v>0</v>
      </c>
      <c r="W65" s="369" t="n">
        <f aca="false">VLOOKUP($R65,$AI$62:$AR$65,6,0)</f>
        <v>2</v>
      </c>
      <c r="X65" s="369" t="n">
        <f aca="false">VLOOKUP($R65,$AI$62:$AR$65,7,0)</f>
        <v>5</v>
      </c>
      <c r="Y65" s="369" t="n">
        <f aca="false">VLOOKUP($R65,$AI$62:$AR$65,8,0)</f>
        <v>7</v>
      </c>
      <c r="Z65" s="370" t="n">
        <f aca="false">VLOOKUP($R65,$AI$62:$AR$65,9,0)</f>
        <v>-2</v>
      </c>
      <c r="AA65" s="67" t="n">
        <f aca="false">IF(SUM($AK$62:$AK$65)=12,MIN(ABS(BY64-BY65),ABS(BY65-BY66)),100)</f>
        <v>1111018499.99</v>
      </c>
      <c r="AB65" s="68" t="str">
        <f aca="false">IF(AND(AA65&gt;=0,AA65&lt;90),VLOOKUP(Q65,$BU$62:$BV$65,2,0),"")</f>
        <v/>
      </c>
      <c r="AC65" s="69"/>
      <c r="AD65" s="70"/>
      <c r="AE65" s="71"/>
      <c r="AF65" s="24" t="n">
        <f aca="false">VLOOKUP($R65,$AI$62:$AR$65,10,0)</f>
        <v>3333193099.7</v>
      </c>
      <c r="AG65" s="11" t="n">
        <f aca="false">RANK(AU65,$AU$62:$AU$65)</f>
        <v>2</v>
      </c>
      <c r="AH65" s="11" t="n">
        <f aca="false">RANK(AR65,$AR$62:$AR$65)</f>
        <v>2</v>
      </c>
      <c r="AI65" s="10" t="str">
        <f aca="false">A64</f>
        <v>Corea del Sur</v>
      </c>
      <c r="AJ65" s="11" t="n">
        <f aca="false">AL65*3+AM65*1+AN65*0</f>
        <v>4</v>
      </c>
      <c r="AK65" s="11" t="n">
        <f aca="false">COUNTIFS($I$4:$I$65,AI65,$K$4:$K$65,"&lt;&gt;",$L$4:$L$65,"&lt;&gt;")+COUNTIFS($N$4:$N$65,AI65,$L$4:$L$65,"&lt;&gt;",$K$4:$K$65,"&lt;&gt;")</f>
        <v>3</v>
      </c>
      <c r="AL65" s="11" t="n">
        <f aca="false" t="array" ref="AL65:AL65">SUM(($I$4:$I$65=AI65)*($K$4:$K$65&lt;&gt;"")*($L$4:$L$65&lt;&gt;"")*($K$4:$K$65&gt;$L$4:$L$65),($N$4:$N$65=AI65)*($K$4:$K$65&lt;&gt;"")*($L$4:$L$65&lt;&gt;"")*($K$4:$K$65&lt;$L$4:$L$65))</f>
        <v>1</v>
      </c>
      <c r="AM65" s="11" t="n">
        <f aca="false" t="array" ref="AM65:AM65">SUM(($I$4:$I$65=AI65)*($K$4:$K$65&lt;&gt;"")*($L$4:$L$65&lt;&gt;"")*($K$4:$K$65=$L$4:$L$65),($N$4:$N$65=AI65)*($K$4:$K$65&lt;&gt;"")*($L$4:$L$65&lt;&gt;"")*($K$4:$K$65=$L$4:$L$65))</f>
        <v>1</v>
      </c>
      <c r="AN65" s="11" t="n">
        <f aca="false" t="array" ref="AN65:AN65">SUM(($I$4:$I$65=AI65)*($L$4:$L$65&lt;&gt;"")*($K$4:$K$65&lt;&gt;"")*($K$4:$K$65&lt;$L$4:$L$65),($K$4:$K$65&lt;&gt;"")*($N$4:$N$65=AI65)*($L$4:$L$65&lt;&gt;"")*($K$4:$K$65&gt;$L$4:$L$65))</f>
        <v>1</v>
      </c>
      <c r="AO65" s="11" t="n">
        <f aca="false" t="array" ref="AO65:AO65">SUMIFS($K$4:$K$65,$I$4:$I$65,AI65,$K$4:$K$65,"&lt;&gt;",$L$4:$L$65,"&lt;&gt;")+SUMIFS($L$4:$L$65,$N$4:$N$65,AI65,$K$4:$K$65,"&lt;&gt;",$L$4:$L$65,"&lt;&gt;")</f>
        <v>4</v>
      </c>
      <c r="AP65" s="11" t="n">
        <f aca="false" t="array" ref="AP65:AP65">SUMIFS($K$4:$K$65,$N$4:$N$65,AI65,$K$4:$K$65,"&lt;&gt;",$L$4:$L$65,"&lt;&gt;")+SUMIFS($L$4:$L$65,$I$4:$I$65,AI65,$K$4:$K$65,"&lt;&gt;",$L$4:$L$65,"&lt;&gt;")</f>
        <v>4</v>
      </c>
      <c r="AQ65" s="11" t="n">
        <f aca="false">AO65-AP65</f>
        <v>0</v>
      </c>
      <c r="AR65" s="11" t="n">
        <f aca="false">IF(AK65=0,-($AW$11*VLOOKUP(AI65,Tabla3[[NombreEquipo]:[Rank]],3,0)),AJ65*$AW$4+BA65+AQ65*$AW$8+AO65*$AW$9+AL65*$AW$10-($AW$11*VLOOKUP(AI65,Tabla3[[NombreEquipo]:[Rank]],3,0)/100))</f>
        <v>4444212599.68</v>
      </c>
      <c r="AS65" s="11" t="n">
        <f aca="false">AH65</f>
        <v>2</v>
      </c>
      <c r="AT65" s="11"/>
      <c r="AU65" s="11" t="n">
        <f aca="false">IFERROR(AR65-VLOOKUP(AI65,$AB$62:$AC$65,2,0),AR65)</f>
        <v>4444212599.68</v>
      </c>
      <c r="AV65" s="11"/>
      <c r="AW65" s="10"/>
      <c r="AX65" s="11"/>
      <c r="AY65" s="72" t="str">
        <f aca="false">AI65</f>
        <v>Corea del Sur</v>
      </c>
      <c r="AZ65" s="11" t="n">
        <f aca="false">COUNTIF(AJ62:AJ65,AJ65)</f>
        <v>2</v>
      </c>
      <c r="BA65" s="11" t="n">
        <f aca="false">(BB65*$AW$9)+(BH65*$AW$8)+(BN65*$AW$7)</f>
        <v>210500</v>
      </c>
      <c r="BB65" s="73" t="n">
        <f aca="false">RANK(BC65,BC62:BC65,1)</f>
        <v>1</v>
      </c>
      <c r="BC65" s="73" t="n">
        <f aca="false">SUM(IF(AND(AJ65=AJ62,AQ65=AQ62,AO65=AO62),BD65,0),IF(AND(AJ65=AJ63,AQ65=AQ63,AO65=AO63),BE65,0),IF(AND(AJ65=AJ64,AQ65=AQ64,AO65=AO64),BF65,0))</f>
        <v>0</v>
      </c>
      <c r="BD65" s="73" t="n">
        <f aca="false" t="array" ref="BD65:BD65">SUMIFS($K$60:$K$65,$I$60:$I$65,$AY65,$K$60:$K$65,"&lt;&gt;",$L$60:$L$65,"&lt;&gt;",$N$60:$N$65,BD61)+SUMIFS($L$60:$L$65,$I$60:$I$65,BD61,$K$60:$K$65,"&lt;&gt;",$L$60:$L$65,"&lt;&gt;",$N$60:$N$65,$AY65)</f>
        <v>2</v>
      </c>
      <c r="BE65" s="73" t="n">
        <f aca="false" t="array" ref="BE65:BE65">SUMIFS($K$60:$K$65,$I$60:$I$65,$AY65,$K$60:$K$65,"&lt;&gt;",$L$60:$L$65,"&lt;&gt;",$N$60:$N$65,BE61)+SUMIFS($L$60:$L$65,$I$60:$I$65,BE61,$K$60:$K$65,"&lt;&gt;",$L$60:$L$65,"&lt;&gt;",$N$60:$N$65,$AY65)</f>
        <v>2</v>
      </c>
      <c r="BF65" s="73" t="n">
        <f aca="false" t="array" ref="BF65:BF65">SUMIFS($K$60:$K$65,$I$60:$I$65,$AY65,$K$60:$K$65,"&lt;&gt;",$L$60:$L$65,"&lt;&gt;",$N$60:$N$65,BF61)+SUMIFS($L$60:$L$65,$I$60:$I$65,BF61,$K$60:$K$65,"&lt;&gt;",$L$60:$L$65,"&lt;&gt;",$N$60:$N$65,$AY65)</f>
        <v>0</v>
      </c>
      <c r="BG65" s="73" t="n">
        <v>0</v>
      </c>
      <c r="BH65" s="73" t="n">
        <f aca="false">RANK(BI65,BI62:BI65,1)</f>
        <v>1</v>
      </c>
      <c r="BI65" s="73" t="n">
        <f aca="false">SUM(IF(AND(AJ65=AJ62,AQ65=AQ62,AO65=AO62),BJ65,0),IF(AND(AJ65=AJ63,AQ65=AQ63,AO65=AO63),BK65,0),IF(AND(AJ65=AJ64,AQ65=AQ64,AO65=AO64),BL65,0))</f>
        <v>0</v>
      </c>
      <c r="BJ65" s="73" t="n">
        <f aca="false">BD65-BG62</f>
        <v>1</v>
      </c>
      <c r="BK65" s="73" t="n">
        <f aca="false">BE65-BG63</f>
        <v>-1</v>
      </c>
      <c r="BL65" s="73" t="n">
        <f aca="false">BF65-BG64</f>
        <v>0</v>
      </c>
      <c r="BM65" s="73" t="n">
        <v>0</v>
      </c>
      <c r="BN65" s="73" t="n">
        <f aca="false">RANK(BO65,BO62:BO65,1)</f>
        <v>1</v>
      </c>
      <c r="BO65" s="73" t="n">
        <f aca="false">SUM(IF(AND(AJ65=AJ62,AQ65=AQ62,AO65=AO62),BP65,0),IF(AND(AJ65=AJ63,AQ65=AQ63,AO65=AO63),BQ65,0),IF(AND(AJ65=AJ64,AQ65=AQ64,AO65=AO64),BR65,0))</f>
        <v>0</v>
      </c>
      <c r="BP65" s="73" t="n">
        <f aca="false" t="array" ref="BP65:BP65">SUM((I$4:I$65=AY65)*(N$4:N$65=BP61)*(K$4:K$65&lt;&gt;"")*(L$4:L$65&lt;&gt;"")*(K$4:K$65&gt;L$4:L$65)*3,(N$4:N$65=AY65)*(I$4:I$65=BP61)*(K$4:K$65&lt;&gt;"")*(L$4:L$65&lt;&gt;"")*(K$4:K$65=L$4:L$65)*1,(N$4:N$65=AY65)*(I$4:I$65=BP61)*(K$4:K$65&lt;&gt;"")*(L$4:L$65&lt;&gt;"")*(K$4:K$65&lt;L$4:L$65)*3,(I$4:I$65=AY65)*(N$4:N$65=BP61)*(K$4:K$65&lt;&gt;"")*(L$4:L$65&lt;&gt;"")*(K$4:K$65=L$4:L$65)*1)</f>
        <v>3</v>
      </c>
      <c r="BQ65" s="73" t="n">
        <f aca="false" t="array" ref="BQ65:BQ65">SUM((I$4:I$65=AY65)*(N$4:N$65=BQ61)*(K$4:K$65&lt;&gt;"")*(L$4:L$65&lt;&gt;"")*(K$4:K$65&gt;L$4:L$65)*3,(N$4:N$65=AY65)*(I$4:I$65=BQ61)*(K$4:K$65&lt;&gt;"")*(L$4:L$65&lt;&gt;"")*(K$4:K$65=L$4:L$65)*1,(N$4:N$65=AY65)*(I$4:I$65=BQ61)*(K$4:K$65&lt;&gt;"")*(L$4:L$65&lt;&gt;"")*(K$4:K$65&lt;L$4:L$65)*3,(I$4:I$65=AY65)*(N$4:N$65=BQ61)*(K$4:K$65&lt;&gt;"")*(L$4:L$65&lt;&gt;"")*(K$4:K$65=L$4:L$65)*1)</f>
        <v>0</v>
      </c>
      <c r="BR65" s="73" t="n">
        <f aca="false" t="array" ref="BR65:BR65">SUM((I$4:I$65=AY65)*(N$4:N$65=BR61)*(K$4:K$65&lt;&gt;"")*(L$4:L$65&lt;&gt;"")*(K$4:K$65&gt;L$4:L$65)*3,(N$4:N$65=AY65)*(I$4:I$65=BR61)*(K$4:K$65&lt;&gt;"")*(L$4:L$65&lt;&gt;"")*(K$4:K$65=L$4:L$65)*1,(N$4:N$65=AY65)*(I$4:I$65=BR61)*(K$4:K$65&lt;&gt;"")*(L$4:L$65&lt;&gt;"")*(K$4:K$65&lt;L$4:L$65)*3,(I$4:I$65=AY65)*(N$4:N$65=BR61)*(K$4:K$65&lt;&gt;"")*(L$4:L$65&lt;&gt;"")*(K$4:K$65=L$4:L$65)*1)</f>
        <v>1</v>
      </c>
      <c r="BS65" s="73" t="n">
        <v>0</v>
      </c>
      <c r="BT65" s="10" t="n">
        <v>4</v>
      </c>
      <c r="BU65" s="10" t="n">
        <f aca="false">RANK(BW65,$BW$62:$BW$65)</f>
        <v>2</v>
      </c>
      <c r="BV65" s="10" t="str">
        <f aca="false">A64</f>
        <v>Corea del Sur</v>
      </c>
      <c r="BW65" s="10" t="n">
        <f aca="false">IF(AK65=0,-($AW$11*VLOOKUP(AI65,Tabla3[[NombreEquipo]:[Rank]],3,0)),AJ65*$AW$4+BA65+AQ65*$AW$8+AO65*$AW$9+AL65*$AW$10-($AW$11*VLOOKUP(AI65,Tabla3[[NombreEquipo]:[Rank]],3,0)/100))</f>
        <v>4444212599.68</v>
      </c>
      <c r="BX65" s="10" t="str">
        <f aca="false">VLOOKUP(Q65,$AH$62:$AI$65,2,0)</f>
        <v>Ghana</v>
      </c>
      <c r="BY65" s="10" t="n">
        <f aca="false">VLOOKUP($BX65,$AI$62:$AR$65,10,0)</f>
        <v>3333193099.7</v>
      </c>
      <c r="BZ65" s="10"/>
      <c r="CA65" s="10" t="n">
        <v>4</v>
      </c>
      <c r="CB65" s="10" t="str">
        <f aca="false">VLOOKUP(CA65,$AH$62:$AI$65,2,0)</f>
        <v>Ghana</v>
      </c>
      <c r="CC65" s="10" t="n">
        <f aca="false">VLOOKUP(CB65,$AI$62:$AR$65,2,0)</f>
        <v>3</v>
      </c>
      <c r="CD65" s="74" t="n">
        <f aca="false">IF(SUM($AK$62:$AK$65)=12,MIN(ABS(BY64-BY65),ABS(BY65-BY66)),100)</f>
        <v>1111018499.99</v>
      </c>
      <c r="CE65" s="10" t="n">
        <f aca="false">VLOOKUP($CB65,$AI$62:$AR$65,9,0)</f>
        <v>-2</v>
      </c>
      <c r="CF65" s="10" t="n">
        <f aca="false">VLOOKUP($CB65,$AI$62:$AR$65,7,0)</f>
        <v>5</v>
      </c>
      <c r="CG65" s="10"/>
      <c r="CH65" s="10" t="n">
        <f aca="false" t="array" ref="CH65:CH65">IF($CI$62=$CL$61,$EC$61:$EC$64,IF(OR($CI$62=$CN$61,$CI$62=$CR$61),$EG$61:$EG$62,IF($CI$62=$CP$61,$EF$61:$EF$63,$EL$61)))</f>
        <v>4</v>
      </c>
      <c r="CI65" s="11"/>
      <c r="CJ65" s="11"/>
      <c r="CK65" s="11" t="n">
        <v>4</v>
      </c>
      <c r="CL65" s="11" t="n">
        <f aca="false" t="array" ref="CL65:CL65">IF(AND($CC$62:$CC$65=$CC$65,$CD$62:$CD$65&lt;90,$AQ$62:$AQ$65=$AQ$65,$CF$62:$CF$65=$CF$65),1,0)</f>
        <v>0</v>
      </c>
      <c r="CM65" s="11" t="n">
        <f aca="false" t="array" ref="CM65:CM65">IF(AND($CC$62:$CC$64=$CC$62,$CD$62:$CD$64&lt;90,$CD$65&gt;90,$CC$62&lt;&gt;$CC$65),1,0)</f>
        <v>0</v>
      </c>
      <c r="CN65" s="11" t="n">
        <f aca="false" t="array" ref="CN65:CN65">IF(AND($CC$64:$CC$65=$CC$64,$CD$64:$CD$65&lt;90,$CC$64&lt;&gt;$CC$63),1,0)</f>
        <v>0</v>
      </c>
      <c r="CO65" s="11" t="n">
        <f aca="false" t="array" ref="CO65:CO65">IF(AND($CC$65&lt;&gt;$CC$63,$CC$65&lt;&gt;$CC$62),1,0)</f>
        <v>1</v>
      </c>
      <c r="CP65" s="11" t="n">
        <f aca="false" t="array" ref="CP65:CP65">IF(AND($CC$63:$CC$65=$CC$63,$CD$63:$CD$65&lt;90,$CC$62&lt;&gt;$CC$65),1,0)</f>
        <v>0</v>
      </c>
      <c r="CQ65" s="11" t="n">
        <f aca="false" t="array" ref="CQ65:CQ65">IF(AND($CC$65&lt;&gt;$CC$63,$CC$65&lt;&gt;$CC$62),1,0)</f>
        <v>1</v>
      </c>
      <c r="CR65" s="11" t="n">
        <f aca="false" t="array" ref="CR65:CR65">IF(AND($CC$64:$CC$65=$CC$64,$CD$64:$CD$65&lt;90,$CC$64&lt;&gt;$CC$63),1,0)</f>
        <v>0</v>
      </c>
      <c r="CS65" s="11" t="n">
        <f aca="false" t="array" ref="CS65:CS65">IF(AND($CC$65&lt;&gt;$CC$63,$CC$65&lt;&gt;$CC$62),1,0)</f>
        <v>1</v>
      </c>
      <c r="CT65" s="11" t="n">
        <f aca="false" t="array" ref="CT65:CT65">IF(AND($CC$62:$CC$65=$CC$62,$CD$62:$CD$65&lt;90,$CE$64:$CE$65=$CE$65,$CE$63&lt;&gt;$CE$65),1,0)</f>
        <v>0</v>
      </c>
      <c r="CU65" s="11" t="n">
        <f aca="false" t="array" ref="CU65:CU65">IF(AND($CC$62:$CC$65=$CC$62,$CD$62:$CD$65&lt;90,$CE$62:$CE$65=$CE$62,$CF$64=$CF$65,$CF$63&lt;&gt;$CF$64),1,0)</f>
        <v>0</v>
      </c>
      <c r="CV65" s="11" t="n">
        <f aca="false" t="array" ref="CV65:CV65">IF(AND($CC$62:$CC$64=$CC$62,$CD$62:$CD$63&lt;90,$CC$64&lt;&gt;$CC$65),1,0)</f>
        <v>0</v>
      </c>
      <c r="CW65" s="11" t="n">
        <f aca="false" t="array" ref="CW65:CW65">IF(AND($CC$63&lt;&gt;$CC$62,$CC$63:$CC$65=$CC$64,$CD$63&gt;90,$CD$64:$CD$65&lt;90),1,0)</f>
        <v>0</v>
      </c>
      <c r="CX65" s="11" t="n">
        <f aca="false" t="array" ref="CX65:CX65">IF(AND($CC$63&lt;&gt;$CC$62,$CC$63:$CC$65=$CC$63,$CD$65&gt;90,$CD$63:$CD$64&lt;90),1,0)</f>
        <v>0</v>
      </c>
      <c r="CY65" s="11" t="n">
        <f aca="false" t="array" ref="CY65:CY65">IF(AND($CC$65&lt;&gt;$CC$63,$CC$65&lt;&gt;$CC$64),1,0)</f>
        <v>1</v>
      </c>
      <c r="CZ65" s="11" t="n">
        <f aca="false" t="array" ref="CZ65:CZ65">IF(AND($CC$62:$CC$65=$CC$63,$CD$63:$CD$65&lt;90,$CD$62&lt;&gt;$CD$65),1,0)</f>
        <v>0</v>
      </c>
      <c r="DA65" s="11" t="n">
        <f aca="false" t="array" ref="DA65:DA65">IF(AND($CC$62:$CC$65=$CC$62,$CD$62:$CD$64&lt;90,$CD$64&lt;&gt;$CD$65),1,0)</f>
        <v>0</v>
      </c>
      <c r="DB65" s="11" t="n">
        <f aca="false" t="array" ref="DB65:DB65">IF(AND($CC$62:$CC$65=$CC$65,$CD$62:$CD$63&gt;90,$CD$64:$CD$65&lt;90,$CE$62:$CE$65=$CE$65,$CF$62&gt;$CF$63,$CF$63&gt;$CF$65,$CF$64=$CF$65),1,0)</f>
        <v>0</v>
      </c>
      <c r="DC65" s="11" t="n">
        <f aca="false" t="array" ref="DC65:DC65">IF(AND($CC$62:$CC$65=$CC$63,$CD$62&gt;90,$CD$63:$CD$64&lt;90,$CD$65&gt;90,$CE$62:$CE$65=$CE$65,$CF$62&gt;$CF$65,$CF$63=$CF$64,$CF$63&gt;$CF$65),1,0)</f>
        <v>0</v>
      </c>
      <c r="DD65" s="11" t="n">
        <f aca="false" t="array" ref="DD65:DD65">IF(AND($CC$62:$CC$65=$CC$65,$CD$62:$CD$63&lt;90,$CD$64:$CD$65&gt;90,$CE$62:$CE$65=$CE$65,$CF$62=$CF$63,$CF$63&gt;$CF$64,$CF$64&gt;$CF$65),1,0)</f>
        <v>0</v>
      </c>
      <c r="DE65" s="11" t="n">
        <f aca="false" t="array" ref="DE65:DE65">IF(AND($CC$62:$CC$65=$CC$65,$CD$62:$CD$63&gt;90,$CD$64:$CD$65&lt;90,$CE$62:$CE$65=$CE$65,$CF$62&gt;$CF$65,$CF$63:$CF$65=$CF$65),1,0)</f>
        <v>0</v>
      </c>
      <c r="DF65" s="11" t="n">
        <f aca="false" t="array" ref="DF65:DF65">IF(AND($CC$62:$CC$65=$CC$65,$CD$62:$CD$63&lt;90,$CD$64:$CD$65&gt;90,$CE$62:$CE$65=$CE$65,$CF$62:$CF$64=$CF$64,$CF$62:$CF$64&gt;$CF$65),1,0)</f>
        <v>0</v>
      </c>
      <c r="DG65" s="11" t="n">
        <f aca="false" t="array" ref="DG65:DG65">IF(AND($CC$62:$CC$65=$CC$65,$CD$62&gt;90,$CD$65&gt;90,$CD$63:$CD$64&lt;90,$CE$62:$CE$65=$CE$65,$CF$62&gt;$CF$63:$CF$65,$CF$63:$CF$65=$CF$65),1,0)</f>
        <v>0</v>
      </c>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73"/>
      <c r="FJ65" s="11"/>
      <c r="FK65" s="73"/>
      <c r="FL65" s="11"/>
      <c r="FM65" s="73"/>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c r="LU65" s="11"/>
      <c r="LV65" s="11"/>
      <c r="LW65" s="11"/>
      <c r="LX65" s="11"/>
      <c r="LY65" s="11"/>
      <c r="LZ65" s="11"/>
      <c r="MA65" s="11"/>
      <c r="MB65" s="11"/>
      <c r="MC65" s="11"/>
      <c r="MD65" s="11"/>
      <c r="ME65" s="11"/>
      <c r="MF65" s="11"/>
      <c r="MG65" s="11"/>
      <c r="MH65" s="11"/>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c r="OE65" s="11"/>
      <c r="OF65" s="11"/>
      <c r="OG65" s="11"/>
      <c r="OH65" s="11"/>
      <c r="OI65" s="11"/>
      <c r="OJ65" s="11"/>
      <c r="OK65" s="11"/>
      <c r="OL65" s="11"/>
      <c r="OM65" s="11"/>
      <c r="ON65" s="11"/>
      <c r="OO65" s="11"/>
      <c r="OP65" s="11"/>
      <c r="OQ65" s="11"/>
      <c r="OR65" s="11"/>
      <c r="OS65" s="11"/>
      <c r="OT65" s="11"/>
      <c r="OU65" s="11"/>
      <c r="OV65" s="11"/>
      <c r="OW65" s="11"/>
      <c r="OX65" s="11"/>
      <c r="OY65" s="11"/>
      <c r="OZ65" s="11"/>
      <c r="PA65" s="11"/>
      <c r="PB65" s="11"/>
      <c r="PC65" s="11"/>
      <c r="PD65" s="11"/>
      <c r="PE65" s="11"/>
      <c r="PF65" s="11"/>
      <c r="PG65" s="11"/>
      <c r="PH65" s="11"/>
      <c r="PI65" s="11"/>
      <c r="PJ65" s="11"/>
      <c r="PK65" s="11"/>
      <c r="PL65" s="11"/>
      <c r="PM65" s="11"/>
      <c r="PN65" s="11"/>
      <c r="PO65" s="11"/>
    </row>
    <row r="66" s="10" customFormat="true" ht="15" hidden="false" customHeight="true" outlineLevel="0" collapsed="false">
      <c r="A66" s="12"/>
      <c r="B66" s="12"/>
      <c r="C66" s="12"/>
      <c r="D66" s="331"/>
      <c r="E66" s="331"/>
      <c r="F66" s="331"/>
      <c r="G66" s="331"/>
      <c r="H66" s="331"/>
      <c r="I66" s="331"/>
      <c r="J66" s="331"/>
      <c r="K66" s="331"/>
      <c r="L66" s="331"/>
      <c r="M66" s="331"/>
      <c r="N66" s="331"/>
      <c r="O66" s="371"/>
      <c r="P66" s="331"/>
      <c r="Q66" s="331"/>
      <c r="R66" s="331"/>
      <c r="S66" s="331"/>
      <c r="T66" s="331"/>
      <c r="U66" s="331"/>
      <c r="V66" s="331"/>
      <c r="W66" s="331"/>
      <c r="X66" s="331"/>
      <c r="Y66" s="331"/>
      <c r="Z66" s="331"/>
      <c r="AA66" s="331"/>
      <c r="AB66" s="331"/>
      <c r="AC66" s="331"/>
      <c r="AD66" s="331"/>
      <c r="AE66" s="23"/>
      <c r="AF66" s="24"/>
      <c r="AG66" s="11"/>
      <c r="AH66" s="11"/>
      <c r="AS66" s="11"/>
      <c r="AT66" s="11"/>
      <c r="AU66" s="11"/>
      <c r="AV66" s="11"/>
      <c r="BD66" s="73"/>
      <c r="BE66" s="73"/>
      <c r="BF66" s="73"/>
      <c r="BG66" s="73"/>
      <c r="BH66" s="73"/>
      <c r="BI66" s="73"/>
      <c r="BJ66" s="73"/>
      <c r="BK66" s="73"/>
      <c r="BL66" s="73"/>
      <c r="BM66" s="73"/>
      <c r="BN66" s="73"/>
      <c r="BO66" s="73"/>
      <c r="BP66" s="73"/>
      <c r="BQ66" s="73"/>
      <c r="BR66" s="73"/>
      <c r="BS66" s="73"/>
      <c r="CD66" s="74"/>
      <c r="CI66" s="24"/>
      <c r="CJ66" s="11"/>
      <c r="CK66" s="11"/>
      <c r="YQ66" s="372"/>
    </row>
    <row r="67" customFormat="false" ht="15" hidden="false" customHeight="true" outlineLevel="0" collapsed="false">
      <c r="A67" s="12"/>
      <c r="B67" s="12"/>
      <c r="C67" s="12"/>
      <c r="D67" s="45"/>
      <c r="E67" s="373" t="s">
        <v>87</v>
      </c>
      <c r="F67" s="373"/>
      <c r="G67" s="373"/>
      <c r="H67" s="373"/>
      <c r="I67" s="373"/>
      <c r="J67" s="373"/>
      <c r="K67" s="373"/>
      <c r="L67" s="373"/>
      <c r="M67" s="373"/>
      <c r="N67" s="373"/>
      <c r="O67" s="374"/>
      <c r="P67" s="375"/>
      <c r="Q67" s="330"/>
      <c r="R67" s="330"/>
      <c r="S67" s="331"/>
      <c r="T67" s="331"/>
      <c r="U67" s="331"/>
      <c r="V67" s="331"/>
      <c r="W67" s="331"/>
      <c r="X67" s="331"/>
      <c r="Y67" s="331"/>
      <c r="Z67" s="331"/>
      <c r="AA67" s="331"/>
      <c r="AB67" s="331"/>
      <c r="AC67" s="331"/>
      <c r="AD67" s="331"/>
      <c r="AE67" s="23"/>
      <c r="AF67" s="24"/>
      <c r="AG67" s="11"/>
      <c r="AH67" s="11"/>
      <c r="AS67" s="11"/>
      <c r="AT67" s="11"/>
      <c r="AU67" s="11"/>
      <c r="AV67" s="11"/>
      <c r="AW67" s="11"/>
      <c r="BD67" s="73"/>
      <c r="BE67" s="73"/>
      <c r="BF67" s="73"/>
      <c r="BG67" s="73"/>
      <c r="BH67" s="73"/>
      <c r="BI67" s="73"/>
      <c r="BJ67" s="73"/>
      <c r="BK67" s="73"/>
      <c r="BL67" s="73"/>
      <c r="BM67" s="73"/>
      <c r="BN67" s="73"/>
      <c r="BO67" s="73"/>
      <c r="BP67" s="73"/>
      <c r="BQ67" s="73"/>
      <c r="BR67" s="73"/>
      <c r="BS67" s="73"/>
      <c r="CI67" s="10"/>
      <c r="CJ67" s="10"/>
      <c r="CK67" s="10"/>
      <c r="CL67" s="10"/>
      <c r="CM67" s="10"/>
      <c r="CN67" s="10"/>
    </row>
    <row r="68" customFormat="false" ht="15" hidden="false" customHeight="true" outlineLevel="0" collapsed="false">
      <c r="A68" s="12"/>
      <c r="B68" s="12"/>
      <c r="C68" s="12"/>
      <c r="D68" s="45"/>
      <c r="E68" s="25"/>
      <c r="F68" s="26" t="str">
        <f aca="false">F3</f>
        <v>Fecha</v>
      </c>
      <c r="G68" s="26" t="str">
        <f aca="false">G3</f>
        <v>Hora</v>
      </c>
      <c r="H68" s="27"/>
      <c r="I68" s="28" t="s">
        <v>83</v>
      </c>
      <c r="J68" s="376" t="s">
        <v>88</v>
      </c>
      <c r="K68" s="29" t="str">
        <f aca="false">K3</f>
        <v>Gol</v>
      </c>
      <c r="L68" s="29" t="str">
        <f aca="false">L3</f>
        <v>Gol</v>
      </c>
      <c r="M68" s="377" t="s">
        <v>88</v>
      </c>
      <c r="N68" s="30" t="s">
        <v>85</v>
      </c>
      <c r="O68" s="374"/>
      <c r="P68" s="375"/>
      <c r="Q68" s="330"/>
      <c r="R68" s="330"/>
      <c r="S68" s="331"/>
      <c r="T68" s="331"/>
      <c r="U68" s="331"/>
      <c r="V68" s="331"/>
      <c r="W68" s="331"/>
      <c r="X68" s="331"/>
      <c r="Y68" s="331"/>
      <c r="Z68" s="331"/>
      <c r="AA68" s="331"/>
      <c r="AB68" s="331"/>
      <c r="AC68" s="331"/>
      <c r="AD68" s="331"/>
      <c r="AE68" s="23"/>
      <c r="AF68" s="24"/>
      <c r="AG68" s="11"/>
      <c r="AH68" s="11"/>
      <c r="AS68" s="11"/>
      <c r="AT68" s="11"/>
      <c r="AU68" s="11"/>
      <c r="AV68" s="11"/>
      <c r="AW68" s="11"/>
      <c r="BD68" s="73"/>
      <c r="BE68" s="73"/>
      <c r="BF68" s="73"/>
      <c r="BG68" s="73"/>
      <c r="BH68" s="73"/>
      <c r="BI68" s="73"/>
      <c r="BJ68" s="73"/>
      <c r="BK68" s="73"/>
      <c r="BL68" s="73"/>
      <c r="BM68" s="73"/>
      <c r="BN68" s="73"/>
      <c r="BO68" s="73"/>
      <c r="BP68" s="73"/>
      <c r="BQ68" s="73"/>
      <c r="BR68" s="73"/>
      <c r="BS68" s="73"/>
      <c r="CC68" s="61"/>
      <c r="CD68" s="61"/>
      <c r="CE68" s="61"/>
      <c r="CF68" s="61"/>
      <c r="CG68" s="61"/>
      <c r="CI68" s="10"/>
      <c r="CJ68" s="10"/>
      <c r="CK68" s="10"/>
      <c r="CL68" s="10"/>
      <c r="CM68" s="10"/>
      <c r="CN68" s="10"/>
    </row>
    <row r="69" customFormat="false" ht="15" hidden="false" customHeight="true" outlineLevel="0" collapsed="false">
      <c r="A69" s="12"/>
      <c r="B69" s="12"/>
      <c r="C69" s="12"/>
      <c r="D69" s="45"/>
      <c r="E69" s="378" t="s">
        <v>89</v>
      </c>
      <c r="F69" s="379" t="n">
        <f aca="false">Horarios!C68</f>
        <v>44898.75</v>
      </c>
      <c r="G69" s="380" t="n">
        <f aca="false">Horarios!C68</f>
        <v>44898.75</v>
      </c>
      <c r="H69" s="381"/>
      <c r="I69" s="382" t="str">
        <f aca="false">IF(SUM(AK6:AK9)=12,VLOOKUP(1,AG6:AI9,3,0),"1A")</f>
        <v>Paises Bajos</v>
      </c>
      <c r="J69" s="383"/>
      <c r="K69" s="384" t="n">
        <v>2</v>
      </c>
      <c r="L69" s="384" t="n">
        <v>1</v>
      </c>
      <c r="M69" s="385"/>
      <c r="N69" s="386" t="str">
        <f aca="false" t="array" ref="N69:N69">IF(SUM(AK14:AK17)=12,VLOOKUP(2,AG14:AI17,3,0),"2B")</f>
        <v>Estados unidos</v>
      </c>
      <c r="O69" s="387" t="n">
        <f aca="false">IF(I81="W49",0,1)</f>
        <v>1</v>
      </c>
      <c r="P69" s="388" t="n">
        <v>49</v>
      </c>
      <c r="Q69" s="330"/>
      <c r="R69" s="330"/>
      <c r="S69" s="331"/>
      <c r="T69" s="331"/>
      <c r="U69" s="331"/>
      <c r="V69" s="331"/>
      <c r="W69" s="331"/>
      <c r="X69" s="331"/>
      <c r="Y69" s="331"/>
      <c r="Z69" s="331"/>
      <c r="AA69" s="331"/>
      <c r="AB69" s="331"/>
      <c r="AC69" s="331"/>
      <c r="AD69" s="331"/>
      <c r="AE69" s="23"/>
      <c r="AF69" s="24"/>
      <c r="AG69" s="389"/>
      <c r="AH69" s="389"/>
      <c r="AI69" s="390"/>
      <c r="AJ69" s="389"/>
      <c r="AK69" s="389"/>
      <c r="AL69" s="389"/>
      <c r="AM69" s="389"/>
      <c r="AN69" s="389"/>
      <c r="AO69" s="389"/>
      <c r="AP69" s="389"/>
      <c r="AQ69" s="389"/>
      <c r="AR69" s="389"/>
      <c r="AS69" s="389"/>
      <c r="AU69" s="11"/>
      <c r="AV69" s="11"/>
      <c r="AW69" s="11"/>
      <c r="AX69" s="389"/>
      <c r="AY69" s="389"/>
      <c r="AZ69" s="389"/>
      <c r="BA69" s="389"/>
      <c r="BD69" s="73"/>
      <c r="BE69" s="73"/>
      <c r="BF69" s="73"/>
      <c r="BG69" s="73"/>
      <c r="BH69" s="73"/>
      <c r="BI69" s="73"/>
      <c r="BJ69" s="73"/>
      <c r="BK69" s="73"/>
      <c r="BL69" s="73"/>
      <c r="BM69" s="73"/>
      <c r="BN69" s="73"/>
      <c r="BO69" s="73"/>
      <c r="BP69" s="73"/>
      <c r="BQ69" s="73"/>
      <c r="BR69" s="73"/>
      <c r="BS69" s="73"/>
      <c r="CD69" s="74"/>
    </row>
    <row r="70" s="11" customFormat="true" ht="15" hidden="false" customHeight="true" outlineLevel="0" collapsed="false">
      <c r="A70" s="12"/>
      <c r="B70" s="12"/>
      <c r="C70" s="12"/>
      <c r="D70" s="45"/>
      <c r="E70" s="378"/>
      <c r="F70" s="391" t="n">
        <f aca="false">Horarios!C69</f>
        <v>44898.9166666667</v>
      </c>
      <c r="G70" s="392" t="n">
        <f aca="false">Horarios!C69</f>
        <v>44898.9166666667</v>
      </c>
      <c r="H70" s="393"/>
      <c r="I70" s="394" t="str">
        <f aca="false">IF(SUM(AK22:AK25)=12,VLOOKUP(1,AG22:AI25,3,0),"1C")</f>
        <v>Argentina</v>
      </c>
      <c r="J70" s="395"/>
      <c r="K70" s="396" t="n">
        <v>3</v>
      </c>
      <c r="L70" s="396" t="n">
        <v>0</v>
      </c>
      <c r="M70" s="395"/>
      <c r="N70" s="397" t="str">
        <f aca="false">IF(SUM(AK30:AK33)=12,VLOOKUP(2,AG30:AI33,3,0),"2D")</f>
        <v>Australia</v>
      </c>
      <c r="O70" s="387" t="n">
        <f aca="false">IF(N81="W50",0,1)</f>
        <v>1</v>
      </c>
      <c r="P70" s="388" t="n">
        <v>50</v>
      </c>
      <c r="Q70" s="330"/>
      <c r="R70" s="330"/>
      <c r="S70" s="331"/>
      <c r="T70" s="331"/>
      <c r="U70" s="331"/>
      <c r="V70" s="331"/>
      <c r="W70" s="331"/>
      <c r="X70" s="331"/>
      <c r="Y70" s="331"/>
      <c r="Z70" s="331"/>
      <c r="AA70" s="331"/>
      <c r="AB70" s="331"/>
      <c r="AC70" s="331"/>
      <c r="AD70" s="331"/>
      <c r="AE70" s="23"/>
      <c r="AF70" s="24"/>
      <c r="AH70" s="10"/>
      <c r="AT70" s="10"/>
      <c r="BB70" s="10"/>
      <c r="BX70" s="10"/>
      <c r="BY70" s="10"/>
      <c r="BZ70" s="10"/>
      <c r="CA70" s="10"/>
      <c r="CB70" s="10"/>
      <c r="CC70" s="10"/>
      <c r="CD70" s="74"/>
      <c r="CE70" s="10"/>
      <c r="CF70" s="10"/>
      <c r="CG70" s="10"/>
    </row>
    <row r="71" s="11" customFormat="true" ht="15" hidden="false" customHeight="true" outlineLevel="0" collapsed="false">
      <c r="A71" s="12"/>
      <c r="B71" s="12"/>
      <c r="C71" s="12"/>
      <c r="D71" s="45"/>
      <c r="E71" s="378"/>
      <c r="F71" s="391" t="n">
        <f aca="false">Horarios!C70</f>
        <v>44899.75</v>
      </c>
      <c r="G71" s="392" t="n">
        <f aca="false">Horarios!C70</f>
        <v>44899.75</v>
      </c>
      <c r="H71" s="398"/>
      <c r="I71" s="394" t="str">
        <f aca="false">IF(SUM(AK30:AK33)=12,VLOOKUP(1,AG30:AI33,3,0),"1D")</f>
        <v>Francia</v>
      </c>
      <c r="J71" s="395"/>
      <c r="K71" s="396" t="n">
        <v>3</v>
      </c>
      <c r="L71" s="396" t="n">
        <v>0</v>
      </c>
      <c r="M71" s="395"/>
      <c r="N71" s="397" t="str">
        <f aca="false">IF(SUM(AK22:AK25)=12,VLOOKUP(2,AG22:AI25,3,0),"2C")</f>
        <v>Polonia</v>
      </c>
      <c r="O71" s="387" t="n">
        <f aca="false">IF(N83="W52",0,1)</f>
        <v>1</v>
      </c>
      <c r="P71" s="388" t="n">
        <v>52</v>
      </c>
      <c r="Q71" s="330"/>
      <c r="R71" s="330"/>
      <c r="S71" s="331"/>
      <c r="T71" s="331"/>
      <c r="U71" s="331"/>
      <c r="V71" s="331"/>
      <c r="W71" s="331"/>
      <c r="X71" s="331"/>
      <c r="Y71" s="331"/>
      <c r="Z71" s="331"/>
      <c r="AA71" s="331"/>
      <c r="AB71" s="331"/>
      <c r="AC71" s="331"/>
      <c r="AD71" s="331"/>
      <c r="AE71" s="23"/>
      <c r="AF71" s="24"/>
      <c r="AH71" s="10"/>
      <c r="AT71" s="10"/>
      <c r="BB71" s="10"/>
      <c r="BX71" s="10"/>
      <c r="BY71" s="10"/>
      <c r="BZ71" s="10"/>
      <c r="CA71" s="10"/>
      <c r="CB71" s="10"/>
      <c r="CC71" s="10"/>
      <c r="CD71" s="74"/>
      <c r="CE71" s="10"/>
      <c r="CF71" s="10"/>
      <c r="CG71" s="10"/>
      <c r="CH71" s="10"/>
    </row>
    <row r="72" s="11" customFormat="true" ht="15" hidden="false" customHeight="true" outlineLevel="0" collapsed="false">
      <c r="A72" s="12"/>
      <c r="B72" s="12"/>
      <c r="C72" s="12"/>
      <c r="D72" s="45"/>
      <c r="E72" s="378"/>
      <c r="F72" s="391" t="n">
        <f aca="false">Horarios!C71</f>
        <v>44899.9166666667</v>
      </c>
      <c r="G72" s="392" t="n">
        <f aca="false">Horarios!C71</f>
        <v>44899.9166666667</v>
      </c>
      <c r="H72" s="398"/>
      <c r="I72" s="399" t="str">
        <f aca="false">IF(SUM(AK14:AK17)=12,VLOOKUP(1,AG14:AI17,3,0),"1B")</f>
        <v>Inglaterra</v>
      </c>
      <c r="J72" s="395"/>
      <c r="K72" s="396" t="n">
        <v>3</v>
      </c>
      <c r="L72" s="396" t="n">
        <v>1</v>
      </c>
      <c r="M72" s="395"/>
      <c r="N72" s="400" t="str">
        <f aca="false">IF(SUM(AK6:AK9)=12,VLOOKUP(2,AG6:AI9,3,0),"2A")</f>
        <v>Senegal</v>
      </c>
      <c r="O72" s="387" t="n">
        <f aca="false">IF(I83="W51",0,1)</f>
        <v>1</v>
      </c>
      <c r="P72" s="388" t="n">
        <v>51</v>
      </c>
      <c r="Q72" s="330"/>
      <c r="R72" s="330"/>
      <c r="S72" s="331"/>
      <c r="T72" s="331"/>
      <c r="U72" s="331"/>
      <c r="V72" s="331"/>
      <c r="W72" s="331"/>
      <c r="X72" s="331"/>
      <c r="Y72" s="331"/>
      <c r="Z72" s="331"/>
      <c r="AA72" s="331"/>
      <c r="AB72" s="331"/>
      <c r="AC72" s="331"/>
      <c r="AD72" s="331"/>
      <c r="AE72" s="23"/>
      <c r="AF72" s="24"/>
      <c r="AH72" s="10"/>
      <c r="AT72" s="10"/>
      <c r="BB72" s="10"/>
      <c r="BX72" s="10"/>
      <c r="BY72" s="10"/>
      <c r="BZ72" s="10"/>
      <c r="CA72" s="10"/>
      <c r="CB72" s="10"/>
      <c r="CC72" s="10"/>
      <c r="CD72" s="74"/>
      <c r="CE72" s="10"/>
      <c r="CF72" s="10"/>
      <c r="CG72" s="10"/>
      <c r="CH72" s="10"/>
    </row>
    <row r="73" s="11" customFormat="true" ht="15" hidden="false" customHeight="true" outlineLevel="0" collapsed="false">
      <c r="A73" s="12"/>
      <c r="B73" s="12"/>
      <c r="C73" s="12"/>
      <c r="D73" s="45"/>
      <c r="E73" s="378"/>
      <c r="F73" s="391" t="n">
        <f aca="false">Horarios!C72</f>
        <v>44900.75</v>
      </c>
      <c r="G73" s="392" t="n">
        <f aca="false">Horarios!C72</f>
        <v>44900.75</v>
      </c>
      <c r="H73" s="393"/>
      <c r="I73" s="394" t="str">
        <f aca="false">IF(SUM(AK38:AK41)=12,VLOOKUP(1,AG38:AI41,3,0),"1E")</f>
        <v>Japón</v>
      </c>
      <c r="J73" s="401"/>
      <c r="K73" s="396" t="n">
        <v>1</v>
      </c>
      <c r="L73" s="396" t="n">
        <v>2</v>
      </c>
      <c r="M73" s="402"/>
      <c r="N73" s="397" t="str">
        <f aca="false">IF(SUM(AK46:AK49)=12,VLOOKUP(2,AG46:AI49,3,0),"2F")</f>
        <v>Croacia</v>
      </c>
      <c r="O73" s="387" t="n">
        <f aca="false">IF(I80="W53",0,1)</f>
        <v>1</v>
      </c>
      <c r="P73" s="388" t="n">
        <v>53</v>
      </c>
      <c r="Q73" s="330"/>
      <c r="R73" s="330"/>
      <c r="S73" s="331"/>
      <c r="T73" s="331"/>
      <c r="U73" s="331"/>
      <c r="V73" s="331"/>
      <c r="W73" s="331"/>
      <c r="X73" s="331"/>
      <c r="Y73" s="331"/>
      <c r="Z73" s="331"/>
      <c r="AA73" s="331"/>
      <c r="AB73" s="331"/>
      <c r="AC73" s="331"/>
      <c r="AD73" s="331"/>
      <c r="AE73" s="23"/>
      <c r="AF73" s="24"/>
      <c r="AH73" s="10"/>
      <c r="AT73" s="10"/>
      <c r="BB73" s="10"/>
      <c r="BX73" s="10"/>
      <c r="BY73" s="10"/>
      <c r="BZ73" s="10"/>
      <c r="CA73" s="10"/>
      <c r="CB73" s="10"/>
      <c r="CC73" s="10"/>
      <c r="CD73" s="74"/>
      <c r="CE73" s="10"/>
      <c r="CF73" s="10"/>
      <c r="CG73" s="10"/>
      <c r="CH73" s="10"/>
      <c r="XL73" s="10"/>
      <c r="AHO73" s="10"/>
      <c r="AHP73" s="10"/>
      <c r="AHQ73" s="10"/>
    </row>
    <row r="74" s="11" customFormat="true" ht="15" hidden="false" customHeight="true" outlineLevel="0" collapsed="false">
      <c r="A74" s="12"/>
      <c r="B74" s="12"/>
      <c r="C74" s="12"/>
      <c r="D74" s="45"/>
      <c r="E74" s="378"/>
      <c r="F74" s="391" t="n">
        <f aca="false">Horarios!C73</f>
        <v>44900.9166666667</v>
      </c>
      <c r="G74" s="392" t="n">
        <f aca="false">Horarios!C73</f>
        <v>44900.9166666667</v>
      </c>
      <c r="H74" s="393"/>
      <c r="I74" s="394" t="str">
        <f aca="false">IF(SUM(AK54:AK57)=12,VLOOKUP(1,AG54:AI57,3,0),"1G")</f>
        <v>Brasil</v>
      </c>
      <c r="J74" s="395"/>
      <c r="K74" s="403" t="n">
        <v>2</v>
      </c>
      <c r="L74" s="403" t="n">
        <v>0</v>
      </c>
      <c r="M74" s="395"/>
      <c r="N74" s="397" t="str">
        <f aca="false">IF(SUM(AK62:AK65)=12,VLOOKUP(2,AG62:AI65,3,0),"2H")</f>
        <v>Corea del Sur</v>
      </c>
      <c r="O74" s="387" t="n">
        <f aca="false">IF(N80="W54",0,1)</f>
        <v>1</v>
      </c>
      <c r="P74" s="388" t="n">
        <v>54</v>
      </c>
      <c r="Q74" s="330"/>
      <c r="R74" s="330"/>
      <c r="S74" s="331"/>
      <c r="T74" s="331"/>
      <c r="U74" s="331"/>
      <c r="V74" s="331"/>
      <c r="W74" s="331"/>
      <c r="X74" s="331"/>
      <c r="Y74" s="331"/>
      <c r="Z74" s="331"/>
      <c r="AA74" s="331"/>
      <c r="AB74" s="331"/>
      <c r="AC74" s="331"/>
      <c r="AD74" s="331"/>
      <c r="AE74" s="23"/>
      <c r="AF74" s="24"/>
      <c r="AH74" s="10"/>
      <c r="AT74" s="10"/>
      <c r="BB74" s="10"/>
      <c r="BZ74" s="10"/>
      <c r="CA74" s="10"/>
      <c r="CB74" s="10"/>
      <c r="CC74" s="10"/>
      <c r="CD74" s="74"/>
      <c r="CE74" s="10"/>
      <c r="CF74" s="10"/>
      <c r="CG74" s="10"/>
      <c r="CH74" s="10"/>
      <c r="OE74" s="10"/>
      <c r="OF74" s="10"/>
      <c r="OG74" s="10"/>
      <c r="OH74" s="10"/>
      <c r="OI74" s="10"/>
      <c r="OJ74" s="10"/>
      <c r="OK74" s="10"/>
      <c r="OL74" s="10"/>
      <c r="OM74" s="10"/>
      <c r="ON74" s="10"/>
      <c r="OO74" s="10"/>
      <c r="OP74" s="10"/>
      <c r="OQ74" s="10"/>
      <c r="OR74" s="10"/>
      <c r="OS74" s="10"/>
      <c r="OT74" s="10"/>
      <c r="OU74" s="10"/>
      <c r="OV74" s="10"/>
      <c r="OW74" s="10"/>
      <c r="OX74" s="10"/>
      <c r="OY74" s="10"/>
      <c r="OZ74" s="10"/>
      <c r="PA74" s="10"/>
      <c r="PB74" s="10"/>
      <c r="PC74" s="10"/>
      <c r="PD74" s="10"/>
      <c r="PE74" s="10"/>
      <c r="PF74" s="10"/>
      <c r="PG74" s="10"/>
      <c r="PH74" s="10"/>
      <c r="PI74" s="10"/>
      <c r="PJ74" s="10"/>
      <c r="PK74" s="10"/>
      <c r="PL74" s="10"/>
      <c r="PM74" s="10"/>
      <c r="PN74" s="10"/>
      <c r="PO74" s="10"/>
      <c r="PP74" s="10"/>
      <c r="PQ74" s="10"/>
      <c r="PR74" s="10"/>
      <c r="PS74" s="10"/>
      <c r="PT74" s="10"/>
      <c r="PU74" s="10"/>
      <c r="PV74" s="10"/>
      <c r="PW74" s="10"/>
      <c r="PX74" s="10"/>
      <c r="PY74" s="10"/>
      <c r="PZ74" s="10"/>
      <c r="QA74" s="10"/>
      <c r="QB74" s="10"/>
      <c r="QC74" s="10"/>
      <c r="QD74" s="10"/>
      <c r="QE74" s="10"/>
      <c r="QF74" s="10"/>
      <c r="QG74" s="10"/>
      <c r="QH74" s="10"/>
      <c r="QI74" s="10"/>
      <c r="QJ74" s="10"/>
      <c r="QK74" s="10"/>
      <c r="QL74" s="10"/>
      <c r="QM74" s="10"/>
      <c r="QN74" s="10"/>
      <c r="QO74" s="10"/>
      <c r="QP74" s="10"/>
      <c r="QQ74" s="10"/>
      <c r="QR74" s="10"/>
      <c r="QS74" s="10"/>
      <c r="QT74" s="10"/>
      <c r="QU74" s="10"/>
      <c r="QV74" s="10"/>
      <c r="QW74" s="10"/>
      <c r="QX74" s="10"/>
      <c r="QY74" s="10"/>
      <c r="QZ74" s="10"/>
      <c r="RA74" s="10"/>
      <c r="RB74" s="10"/>
      <c r="RC74" s="10"/>
      <c r="RD74" s="10"/>
      <c r="RE74" s="10"/>
      <c r="RF74" s="10"/>
      <c r="RG74" s="10"/>
      <c r="RH74" s="10"/>
      <c r="RI74" s="10"/>
      <c r="RJ74" s="10"/>
      <c r="RK74" s="10"/>
      <c r="RL74" s="10"/>
      <c r="RM74" s="10"/>
      <c r="RN74" s="10"/>
      <c r="RO74" s="10"/>
      <c r="RP74" s="10"/>
      <c r="RQ74" s="10"/>
      <c r="RR74" s="10"/>
      <c r="RS74" s="10"/>
      <c r="RT74" s="10"/>
      <c r="RU74" s="10"/>
      <c r="RV74" s="10"/>
      <c r="RW74" s="10"/>
      <c r="RX74" s="10"/>
      <c r="RY74" s="10"/>
      <c r="RZ74" s="10"/>
      <c r="SA74" s="10"/>
      <c r="SB74" s="10"/>
      <c r="SC74" s="10"/>
      <c r="SD74" s="10"/>
      <c r="SE74" s="10"/>
      <c r="SF74" s="10"/>
      <c r="SG74" s="10"/>
      <c r="SH74" s="10"/>
      <c r="SI74" s="10"/>
      <c r="SJ74" s="10"/>
      <c r="SK74" s="10"/>
      <c r="SL74" s="10"/>
      <c r="SM74" s="10"/>
      <c r="SN74" s="10"/>
      <c r="SO74" s="10"/>
      <c r="SP74" s="10"/>
      <c r="SQ74" s="10"/>
      <c r="SR74" s="10"/>
      <c r="SS74" s="10"/>
      <c r="ST74" s="10"/>
      <c r="SU74" s="10"/>
      <c r="SV74" s="10"/>
      <c r="SW74" s="10"/>
      <c r="SX74" s="10"/>
      <c r="SY74" s="10"/>
      <c r="SZ74" s="10"/>
      <c r="TA74" s="10"/>
      <c r="TB74" s="10"/>
      <c r="TC74" s="10"/>
      <c r="TD74" s="10"/>
      <c r="TE74" s="10"/>
      <c r="TF74" s="10"/>
      <c r="TG74" s="10"/>
      <c r="TH74" s="10"/>
      <c r="TI74" s="10"/>
      <c r="TJ74" s="10"/>
      <c r="TK74" s="10"/>
      <c r="TL74" s="10"/>
      <c r="TM74" s="10"/>
      <c r="TN74" s="10"/>
      <c r="TO74" s="10"/>
      <c r="TP74" s="10"/>
      <c r="TQ74" s="10"/>
      <c r="TR74" s="10"/>
      <c r="TS74" s="10"/>
      <c r="TT74" s="10"/>
      <c r="TU74" s="10"/>
      <c r="TV74" s="10"/>
      <c r="TW74" s="10"/>
      <c r="TX74" s="10"/>
      <c r="TY74" s="10"/>
      <c r="TZ74" s="10"/>
      <c r="UA74" s="10"/>
      <c r="UB74" s="10"/>
      <c r="UC74" s="10"/>
      <c r="UD74" s="10"/>
      <c r="UE74" s="10"/>
      <c r="UF74" s="10"/>
      <c r="UG74" s="10"/>
      <c r="UH74" s="10"/>
      <c r="UI74" s="10"/>
      <c r="UJ74" s="10"/>
      <c r="UK74" s="10"/>
      <c r="UL74" s="10"/>
      <c r="UM74" s="10"/>
      <c r="UN74" s="10"/>
      <c r="UO74" s="10"/>
      <c r="UP74" s="10"/>
      <c r="UQ74" s="10"/>
      <c r="UR74" s="10"/>
      <c r="US74" s="10"/>
      <c r="UT74" s="10"/>
      <c r="UU74" s="10"/>
      <c r="UV74" s="10"/>
      <c r="UW74" s="10"/>
      <c r="UX74" s="10"/>
      <c r="UY74" s="10"/>
      <c r="UZ74" s="10"/>
      <c r="VA74" s="10"/>
      <c r="VB74" s="10"/>
      <c r="XL74" s="10"/>
      <c r="AFG74" s="10"/>
      <c r="AFN74" s="10"/>
      <c r="AFU74" s="10"/>
      <c r="AHA74" s="10"/>
      <c r="AHB74" s="10"/>
      <c r="AHC74" s="10"/>
      <c r="AHD74" s="10"/>
      <c r="AHE74" s="10"/>
      <c r="AHF74" s="10"/>
      <c r="AHG74" s="10"/>
      <c r="AHO74" s="10"/>
      <c r="AHP74" s="10"/>
      <c r="AHQ74" s="10"/>
    </row>
    <row r="75" s="11" customFormat="true" ht="15" hidden="false" customHeight="true" outlineLevel="0" collapsed="false">
      <c r="A75" s="12"/>
      <c r="B75" s="12"/>
      <c r="C75" s="12"/>
      <c r="D75" s="45"/>
      <c r="E75" s="378"/>
      <c r="F75" s="391" t="n">
        <f aca="false">Horarios!C74</f>
        <v>44901.75</v>
      </c>
      <c r="G75" s="392" t="n">
        <f aca="false">Horarios!C74</f>
        <v>44901.75</v>
      </c>
      <c r="H75" s="398"/>
      <c r="I75" s="394" t="str">
        <f aca="false">IF(SUM(AK46:AK49)=12,VLOOKUP(1,AG46:AI49,3,0),"1F")</f>
        <v>Marruecos</v>
      </c>
      <c r="J75" s="395"/>
      <c r="K75" s="403" t="n">
        <v>1</v>
      </c>
      <c r="L75" s="403" t="n">
        <v>3</v>
      </c>
      <c r="M75" s="395"/>
      <c r="N75" s="397" t="str">
        <f aca="false">IF(SUM(AK38:AK41)=12,VLOOKUP(2,AG38:AI41,3,0),"2E")</f>
        <v>España</v>
      </c>
      <c r="O75" s="387" t="n">
        <f aca="false">IF(I82="W55",0,1)</f>
        <v>1</v>
      </c>
      <c r="P75" s="388" t="n">
        <v>55</v>
      </c>
      <c r="Q75" s="330"/>
      <c r="R75" s="330"/>
      <c r="S75" s="331"/>
      <c r="T75" s="331"/>
      <c r="U75" s="331"/>
      <c r="V75" s="331"/>
      <c r="W75" s="331"/>
      <c r="X75" s="331"/>
      <c r="Y75" s="331"/>
      <c r="Z75" s="331"/>
      <c r="AA75" s="331"/>
      <c r="AB75" s="331"/>
      <c r="AC75" s="331"/>
      <c r="AD75" s="331"/>
      <c r="AE75" s="23"/>
      <c r="AF75" s="24"/>
      <c r="AH75" s="10"/>
      <c r="AT75" s="10"/>
      <c r="BB75" s="10"/>
      <c r="BZ75" s="10"/>
      <c r="CA75" s="10"/>
      <c r="CB75" s="10"/>
      <c r="CD75" s="10"/>
      <c r="CH75" s="10"/>
      <c r="OE75" s="10"/>
      <c r="OF75" s="10"/>
      <c r="OG75" s="10"/>
      <c r="OH75" s="10"/>
      <c r="OI75" s="10"/>
      <c r="OJ75" s="10"/>
      <c r="OK75" s="10"/>
      <c r="OL75" s="10"/>
      <c r="OM75" s="10"/>
      <c r="ON75" s="10"/>
      <c r="OO75" s="10"/>
      <c r="OP75" s="10"/>
      <c r="OQ75" s="10"/>
      <c r="OR75" s="10"/>
      <c r="OS75" s="10"/>
      <c r="OT75" s="10"/>
      <c r="OU75" s="10"/>
      <c r="OV75" s="10"/>
      <c r="OW75" s="10"/>
      <c r="OX75" s="10"/>
      <c r="OY75" s="10"/>
      <c r="OZ75" s="10"/>
      <c r="PA75" s="10"/>
      <c r="PB75" s="10"/>
      <c r="PC75" s="10"/>
      <c r="PD75" s="10"/>
      <c r="PE75" s="10"/>
      <c r="PF75" s="10"/>
      <c r="PG75" s="10"/>
      <c r="PH75" s="10"/>
      <c r="PI75" s="10"/>
      <c r="PJ75" s="10"/>
      <c r="PK75" s="10"/>
      <c r="PL75" s="10"/>
      <c r="PM75" s="10"/>
      <c r="PN75" s="10"/>
      <c r="PO75" s="10"/>
      <c r="PP75" s="10"/>
      <c r="PQ75" s="10"/>
      <c r="PR75" s="10"/>
      <c r="PS75" s="10"/>
      <c r="PT75" s="10"/>
      <c r="PU75" s="10"/>
      <c r="PV75" s="10"/>
      <c r="PW75" s="10"/>
      <c r="PX75" s="10"/>
      <c r="PY75" s="10"/>
      <c r="PZ75" s="10"/>
      <c r="QA75" s="10"/>
      <c r="QB75" s="10"/>
      <c r="QC75" s="10"/>
      <c r="QD75" s="10"/>
      <c r="QE75" s="10"/>
      <c r="QF75" s="10"/>
      <c r="QG75" s="10"/>
      <c r="QH75" s="10"/>
      <c r="QI75" s="10"/>
      <c r="QJ75" s="10"/>
      <c r="QK75" s="10"/>
      <c r="QL75" s="10"/>
      <c r="QM75" s="10"/>
      <c r="QN75" s="10"/>
      <c r="QO75" s="10"/>
      <c r="QP75" s="10"/>
      <c r="QQ75" s="10"/>
      <c r="QR75" s="10"/>
      <c r="QS75" s="10"/>
      <c r="QT75" s="10"/>
      <c r="QU75" s="10"/>
      <c r="QV75" s="10"/>
      <c r="QW75" s="10"/>
      <c r="QX75" s="10"/>
      <c r="QY75" s="10"/>
      <c r="QZ75" s="10"/>
      <c r="RA75" s="10"/>
      <c r="RB75" s="10"/>
      <c r="RC75" s="10"/>
      <c r="RD75" s="10"/>
      <c r="RE75" s="10"/>
      <c r="RF75" s="10"/>
      <c r="RG75" s="10"/>
      <c r="RH75" s="10"/>
      <c r="RI75" s="10"/>
      <c r="RJ75" s="10"/>
      <c r="RK75" s="10"/>
      <c r="RL75" s="10"/>
      <c r="RM75" s="10"/>
      <c r="RN75" s="10"/>
      <c r="RO75" s="10"/>
      <c r="RP75" s="10"/>
      <c r="RQ75" s="10"/>
      <c r="RR75" s="10"/>
      <c r="RS75" s="10"/>
      <c r="RT75" s="10"/>
      <c r="RU75" s="10"/>
      <c r="RV75" s="10"/>
      <c r="RW75" s="10"/>
      <c r="RX75" s="10"/>
      <c r="RY75" s="10"/>
      <c r="RZ75" s="10"/>
      <c r="SA75" s="10"/>
      <c r="SB75" s="10"/>
      <c r="SC75" s="10"/>
      <c r="SD75" s="10"/>
      <c r="SE75" s="10"/>
      <c r="SF75" s="10"/>
      <c r="SG75" s="10"/>
      <c r="SH75" s="10"/>
      <c r="SI75" s="10"/>
      <c r="SJ75" s="10"/>
      <c r="SK75" s="10"/>
      <c r="SL75" s="10"/>
      <c r="SM75" s="10"/>
      <c r="SN75" s="10"/>
      <c r="SO75" s="10"/>
      <c r="SP75" s="10"/>
      <c r="SQ75" s="10"/>
      <c r="SR75" s="10"/>
      <c r="SS75" s="10"/>
      <c r="ST75" s="10"/>
      <c r="SU75" s="10"/>
      <c r="SV75" s="10"/>
      <c r="SW75" s="10"/>
      <c r="SX75" s="10"/>
      <c r="SY75" s="10"/>
      <c r="SZ75" s="10"/>
      <c r="TA75" s="10"/>
      <c r="TB75" s="10"/>
      <c r="TC75" s="10"/>
      <c r="TD75" s="10"/>
      <c r="TE75" s="10"/>
      <c r="TF75" s="10"/>
      <c r="TG75" s="10"/>
      <c r="TH75" s="10"/>
      <c r="TI75" s="10"/>
      <c r="TJ75" s="10"/>
      <c r="TK75" s="10"/>
      <c r="TL75" s="10"/>
      <c r="TM75" s="10"/>
      <c r="TN75" s="10"/>
      <c r="TO75" s="10"/>
      <c r="TP75" s="10"/>
      <c r="TQ75" s="10"/>
      <c r="TR75" s="10"/>
      <c r="TS75" s="10"/>
      <c r="TT75" s="10"/>
      <c r="TU75" s="10"/>
      <c r="TV75" s="10"/>
      <c r="TW75" s="10"/>
      <c r="TX75" s="10"/>
      <c r="TY75" s="10"/>
      <c r="TZ75" s="10"/>
      <c r="UA75" s="10"/>
      <c r="UB75" s="10"/>
      <c r="UC75" s="10"/>
      <c r="UD75" s="10"/>
      <c r="UE75" s="10"/>
      <c r="UF75" s="10"/>
      <c r="UG75" s="10"/>
      <c r="UH75" s="10"/>
      <c r="UI75" s="10"/>
      <c r="UJ75" s="10"/>
      <c r="UK75" s="10"/>
      <c r="UL75" s="10"/>
      <c r="UM75" s="10"/>
      <c r="UN75" s="10"/>
      <c r="UO75" s="10"/>
      <c r="UP75" s="10"/>
      <c r="UQ75" s="10"/>
      <c r="UR75" s="10"/>
      <c r="US75" s="10"/>
      <c r="UT75" s="10"/>
      <c r="UU75" s="10"/>
      <c r="UV75" s="10"/>
      <c r="UW75" s="10"/>
      <c r="UX75" s="10"/>
      <c r="UY75" s="10"/>
      <c r="UZ75" s="10"/>
      <c r="VA75" s="10"/>
      <c r="VB75" s="10"/>
      <c r="XL75" s="10"/>
      <c r="AFG75" s="10"/>
      <c r="AFN75" s="10"/>
      <c r="AFU75" s="10"/>
      <c r="AHA75" s="10"/>
      <c r="AHB75" s="10"/>
      <c r="AHC75" s="10"/>
      <c r="AHD75" s="10"/>
      <c r="AHE75" s="10"/>
      <c r="AHF75" s="10"/>
      <c r="AHG75" s="10"/>
      <c r="AHO75" s="10"/>
      <c r="AHP75" s="10"/>
      <c r="AHQ75" s="10"/>
    </row>
    <row r="76" s="11" customFormat="true" ht="15" hidden="false" customHeight="true" outlineLevel="0" collapsed="false">
      <c r="A76" s="12"/>
      <c r="B76" s="12"/>
      <c r="C76" s="12"/>
      <c r="D76" s="45"/>
      <c r="E76" s="378"/>
      <c r="F76" s="404" t="n">
        <f aca="false">Horarios!C75</f>
        <v>44901.9166666667</v>
      </c>
      <c r="G76" s="405" t="n">
        <f aca="false">Horarios!C75</f>
        <v>44901.9166666667</v>
      </c>
      <c r="H76" s="406"/>
      <c r="I76" s="407" t="str">
        <f aca="false">IF(SUM(AK62:AK65)=12,VLOOKUP(1,AG62:AI65,3,0),"1H")</f>
        <v>Portugal</v>
      </c>
      <c r="J76" s="408"/>
      <c r="K76" s="409" t="n">
        <v>3</v>
      </c>
      <c r="L76" s="409" t="n">
        <v>2</v>
      </c>
      <c r="M76" s="408"/>
      <c r="N76" s="410" t="str">
        <f aca="false">IF(SUM(AK54:AK57)=12,VLOOKUP(2,AG54:AI57,3,0),"2G")</f>
        <v>Suiza</v>
      </c>
      <c r="O76" s="387" t="n">
        <f aca="false">IF(N82="W56",0,1)</f>
        <v>1</v>
      </c>
      <c r="P76" s="388" t="n">
        <v>56</v>
      </c>
      <c r="Q76" s="330"/>
      <c r="R76" s="330"/>
      <c r="S76" s="331"/>
      <c r="T76" s="331"/>
      <c r="U76" s="331"/>
      <c r="V76" s="331"/>
      <c r="W76" s="331"/>
      <c r="X76" s="331"/>
      <c r="Y76" s="331"/>
      <c r="Z76" s="331"/>
      <c r="AA76" s="331"/>
      <c r="AB76" s="331"/>
      <c r="AC76" s="331"/>
      <c r="AD76" s="331"/>
      <c r="AE76" s="23"/>
      <c r="AF76" s="24"/>
      <c r="AG76" s="10"/>
      <c r="AH76" s="10"/>
      <c r="AI76" s="10"/>
      <c r="AJ76" s="10"/>
      <c r="AK76" s="10"/>
      <c r="AL76" s="10"/>
      <c r="AM76" s="10"/>
      <c r="AN76" s="10"/>
      <c r="AO76" s="10"/>
      <c r="AP76" s="10"/>
      <c r="AQ76" s="10"/>
      <c r="AR76" s="10"/>
      <c r="AS76" s="10"/>
      <c r="AT76" s="10"/>
      <c r="AU76" s="10"/>
      <c r="AX76" s="10"/>
      <c r="AY76" s="10"/>
      <c r="AZ76" s="10"/>
      <c r="BA76" s="10"/>
      <c r="BB76" s="10"/>
      <c r="BZ76" s="10"/>
      <c r="CA76" s="10"/>
      <c r="CB76" s="10"/>
      <c r="CC76" s="61"/>
      <c r="CD76" s="61"/>
      <c r="CE76" s="61"/>
      <c r="CF76" s="61"/>
      <c r="CG76" s="61"/>
      <c r="CH76" s="10"/>
      <c r="OE76" s="10"/>
      <c r="OF76" s="10"/>
      <c r="OG76" s="10"/>
      <c r="OH76" s="10"/>
      <c r="OI76" s="10"/>
      <c r="OJ76" s="10"/>
      <c r="OK76" s="10"/>
      <c r="OL76" s="10"/>
      <c r="OM76" s="10"/>
      <c r="ON76" s="10"/>
      <c r="OO76" s="10"/>
      <c r="OP76" s="10"/>
      <c r="OQ76" s="10"/>
      <c r="OR76" s="10"/>
      <c r="OS76" s="10"/>
      <c r="OT76" s="10"/>
      <c r="OU76" s="10"/>
      <c r="OV76" s="10"/>
      <c r="OW76" s="10"/>
      <c r="OX76" s="10"/>
      <c r="OY76" s="10"/>
      <c r="OZ76" s="10"/>
      <c r="PA76" s="10"/>
      <c r="PB76" s="10"/>
      <c r="PC76" s="10"/>
      <c r="PD76" s="10"/>
      <c r="PE76" s="10"/>
      <c r="PF76" s="10"/>
      <c r="PG76" s="10"/>
      <c r="PH76" s="10"/>
      <c r="PI76" s="10"/>
      <c r="PJ76" s="10"/>
      <c r="PK76" s="10"/>
      <c r="PL76" s="10"/>
      <c r="PM76" s="10"/>
      <c r="PN76" s="10"/>
      <c r="PO76" s="10"/>
      <c r="PP76" s="10"/>
      <c r="PQ76" s="10"/>
      <c r="PR76" s="10"/>
      <c r="PS76" s="10"/>
      <c r="PT76" s="10"/>
      <c r="PU76" s="10"/>
      <c r="PV76" s="10"/>
      <c r="PW76" s="10"/>
      <c r="PX76" s="10"/>
      <c r="PY76" s="10"/>
      <c r="PZ76" s="10"/>
      <c r="QA76" s="10"/>
      <c r="QB76" s="10"/>
      <c r="QC76" s="10"/>
      <c r="QD76" s="10"/>
      <c r="QE76" s="10"/>
      <c r="QF76" s="10"/>
      <c r="QG76" s="10"/>
      <c r="QH76" s="10"/>
      <c r="QI76" s="10"/>
      <c r="QJ76" s="10"/>
      <c r="QK76" s="10"/>
      <c r="QL76" s="10"/>
      <c r="QM76" s="10"/>
      <c r="QN76" s="10"/>
      <c r="QO76" s="10"/>
      <c r="QP76" s="10"/>
      <c r="QQ76" s="10"/>
      <c r="QR76" s="10"/>
      <c r="QS76" s="10"/>
      <c r="QT76" s="10"/>
      <c r="QU76" s="10"/>
      <c r="QV76" s="10"/>
      <c r="QW76" s="10"/>
      <c r="QX76" s="10"/>
      <c r="QY76" s="10"/>
      <c r="QZ76" s="10"/>
      <c r="RA76" s="10"/>
      <c r="RB76" s="10"/>
      <c r="RC76" s="10"/>
      <c r="RD76" s="10"/>
      <c r="RE76" s="10"/>
      <c r="RF76" s="10"/>
      <c r="RG76" s="10"/>
      <c r="RH76" s="10"/>
      <c r="RI76" s="10"/>
      <c r="RJ76" s="10"/>
      <c r="RK76" s="10"/>
      <c r="RL76" s="10"/>
      <c r="RM76" s="10"/>
      <c r="RN76" s="10"/>
      <c r="RO76" s="10"/>
      <c r="RP76" s="10"/>
      <c r="RQ76" s="10"/>
      <c r="RR76" s="10"/>
      <c r="RS76" s="10"/>
      <c r="RT76" s="10"/>
      <c r="RU76" s="10"/>
      <c r="RV76" s="10"/>
      <c r="RW76" s="10"/>
      <c r="RX76" s="10"/>
      <c r="RY76" s="10"/>
      <c r="RZ76" s="10"/>
      <c r="SA76" s="10"/>
      <c r="SB76" s="10"/>
      <c r="SC76" s="10"/>
      <c r="SD76" s="10"/>
      <c r="SE76" s="10"/>
      <c r="SF76" s="10"/>
      <c r="SG76" s="10"/>
      <c r="SH76" s="10"/>
      <c r="SI76" s="10"/>
      <c r="SJ76" s="10"/>
      <c r="SK76" s="10"/>
      <c r="SL76" s="10"/>
      <c r="SM76" s="10"/>
      <c r="SN76" s="10"/>
      <c r="SO76" s="10"/>
      <c r="SP76" s="10"/>
      <c r="SQ76" s="10"/>
      <c r="SR76" s="10"/>
      <c r="SS76" s="10"/>
      <c r="ST76" s="10"/>
      <c r="SU76" s="10"/>
      <c r="SV76" s="10"/>
      <c r="SW76" s="10"/>
      <c r="SX76" s="10"/>
      <c r="SY76" s="10"/>
      <c r="SZ76" s="10"/>
      <c r="TA76" s="10"/>
      <c r="TB76" s="10"/>
      <c r="TC76" s="10"/>
      <c r="TD76" s="10"/>
      <c r="TE76" s="10"/>
      <c r="TF76" s="10"/>
      <c r="TG76" s="10"/>
      <c r="TH76" s="10"/>
      <c r="TI76" s="10"/>
      <c r="TJ76" s="10"/>
      <c r="TK76" s="10"/>
      <c r="TL76" s="10"/>
      <c r="TM76" s="10"/>
      <c r="TN76" s="10"/>
      <c r="TO76" s="10"/>
      <c r="TP76" s="10"/>
      <c r="TQ76" s="10"/>
      <c r="TR76" s="10"/>
      <c r="TS76" s="10"/>
      <c r="TT76" s="10"/>
      <c r="TU76" s="10"/>
      <c r="TV76" s="10"/>
      <c r="TW76" s="10"/>
      <c r="TX76" s="10"/>
      <c r="TY76" s="10"/>
      <c r="TZ76" s="10"/>
      <c r="UA76" s="10"/>
      <c r="UB76" s="10"/>
      <c r="UC76" s="10"/>
      <c r="UD76" s="10"/>
      <c r="UE76" s="10"/>
      <c r="UF76" s="10"/>
      <c r="UG76" s="10"/>
      <c r="UH76" s="10"/>
      <c r="UI76" s="10"/>
      <c r="UJ76" s="10"/>
      <c r="UK76" s="10"/>
      <c r="UL76" s="10"/>
      <c r="UM76" s="10"/>
      <c r="UN76" s="10"/>
      <c r="UO76" s="10"/>
      <c r="UP76" s="10"/>
      <c r="UQ76" s="10"/>
      <c r="UR76" s="10"/>
      <c r="US76" s="10"/>
      <c r="UT76" s="10"/>
      <c r="UU76" s="10"/>
      <c r="UV76" s="10"/>
      <c r="UW76" s="10"/>
      <c r="UX76" s="10"/>
      <c r="UY76" s="10"/>
      <c r="UZ76" s="10"/>
      <c r="VA76" s="10"/>
      <c r="VB76" s="10"/>
      <c r="XL76" s="10"/>
      <c r="YJ76" s="10"/>
      <c r="YK76" s="10"/>
      <c r="YL76" s="10"/>
      <c r="YM76" s="10"/>
      <c r="YN76" s="10"/>
      <c r="YO76" s="10"/>
      <c r="YP76" s="10"/>
      <c r="YQ76" s="10"/>
      <c r="YR76" s="10"/>
      <c r="AFG76" s="10"/>
      <c r="AFN76" s="10"/>
      <c r="AFU76" s="10"/>
      <c r="AHA76" s="10"/>
      <c r="AHB76" s="10"/>
      <c r="AHC76" s="10"/>
      <c r="AHD76" s="10"/>
      <c r="AHE76" s="10"/>
      <c r="AHF76" s="10"/>
      <c r="AHG76" s="10"/>
      <c r="AHO76" s="10"/>
      <c r="AHP76" s="10"/>
      <c r="AHQ76" s="10"/>
    </row>
    <row r="77" s="11" customFormat="true" ht="15" hidden="false" customHeight="true" outlineLevel="0" collapsed="false">
      <c r="A77" s="12"/>
      <c r="B77" s="12"/>
      <c r="C77" s="12"/>
      <c r="D77" s="45"/>
      <c r="E77" s="45"/>
      <c r="F77" s="45"/>
      <c r="G77" s="45"/>
      <c r="H77" s="45"/>
      <c r="I77" s="45"/>
      <c r="J77" s="45"/>
      <c r="K77" s="45"/>
      <c r="L77" s="45"/>
      <c r="M77" s="45"/>
      <c r="N77" s="45"/>
      <c r="O77" s="374"/>
      <c r="P77" s="388"/>
      <c r="Q77" s="330"/>
      <c r="R77" s="330"/>
      <c r="S77" s="331"/>
      <c r="T77" s="331"/>
      <c r="U77" s="331"/>
      <c r="V77" s="331"/>
      <c r="W77" s="331"/>
      <c r="X77" s="331"/>
      <c r="Y77" s="331"/>
      <c r="Z77" s="331"/>
      <c r="AA77" s="331"/>
      <c r="AB77" s="331"/>
      <c r="AC77" s="331"/>
      <c r="AD77" s="331"/>
      <c r="AE77" s="23"/>
      <c r="AF77" s="24"/>
      <c r="AG77" s="10"/>
      <c r="AH77" s="10"/>
      <c r="AI77" s="10"/>
      <c r="AJ77" s="10"/>
      <c r="AK77" s="10"/>
      <c r="AL77" s="10"/>
      <c r="AM77" s="10"/>
      <c r="AN77" s="10"/>
      <c r="AO77" s="10"/>
      <c r="AP77" s="10"/>
      <c r="AQ77" s="10"/>
      <c r="AR77" s="10"/>
      <c r="AS77" s="10"/>
      <c r="AT77" s="10"/>
      <c r="AU77" s="10"/>
      <c r="AX77" s="10"/>
      <c r="AY77" s="10"/>
      <c r="AZ77" s="10"/>
      <c r="BA77" s="10"/>
      <c r="BB77" s="10"/>
      <c r="BZ77" s="10"/>
      <c r="CA77" s="10"/>
      <c r="CB77" s="10"/>
      <c r="CC77" s="61"/>
      <c r="CD77" s="61"/>
      <c r="CE77" s="61"/>
      <c r="CF77" s="61"/>
      <c r="CG77" s="61"/>
      <c r="CH77" s="10"/>
      <c r="OE77" s="10"/>
      <c r="OF77" s="10"/>
      <c r="OG77" s="10"/>
      <c r="OH77" s="10"/>
      <c r="OI77" s="10"/>
      <c r="OJ77" s="10"/>
      <c r="OK77" s="10"/>
      <c r="OL77" s="10"/>
      <c r="OM77" s="10"/>
      <c r="ON77" s="10"/>
      <c r="OO77" s="10"/>
      <c r="OP77" s="10"/>
      <c r="OQ77" s="10"/>
      <c r="OR77" s="10"/>
      <c r="OS77" s="10"/>
      <c r="OT77" s="10"/>
      <c r="OU77" s="10"/>
      <c r="OV77" s="10"/>
      <c r="OW77" s="10"/>
      <c r="OX77" s="10"/>
      <c r="OY77" s="10"/>
      <c r="OZ77" s="10"/>
      <c r="PA77" s="10"/>
      <c r="PB77" s="10"/>
      <c r="PC77" s="10"/>
      <c r="PD77" s="10"/>
      <c r="PE77" s="10"/>
      <c r="PF77" s="10"/>
      <c r="PG77" s="10"/>
      <c r="PH77" s="10"/>
      <c r="PI77" s="10"/>
      <c r="PJ77" s="10"/>
      <c r="PK77" s="10"/>
      <c r="PL77" s="10"/>
      <c r="PM77" s="10"/>
      <c r="PN77" s="10"/>
      <c r="PO77" s="10"/>
      <c r="PP77" s="10"/>
      <c r="PQ77" s="10"/>
      <c r="PR77" s="10"/>
      <c r="PS77" s="10"/>
      <c r="PT77" s="10"/>
      <c r="PU77" s="10"/>
      <c r="PV77" s="10"/>
      <c r="PW77" s="10"/>
      <c r="PX77" s="10"/>
      <c r="PY77" s="10"/>
      <c r="PZ77" s="10"/>
      <c r="QA77" s="10"/>
      <c r="QB77" s="10"/>
      <c r="QC77" s="10"/>
      <c r="QD77" s="10"/>
      <c r="QE77" s="10"/>
      <c r="QF77" s="10"/>
      <c r="QG77" s="10"/>
      <c r="QH77" s="10"/>
      <c r="QI77" s="10"/>
      <c r="QJ77" s="10"/>
      <c r="QK77" s="10"/>
      <c r="QL77" s="10"/>
      <c r="QM77" s="10"/>
      <c r="QN77" s="10"/>
      <c r="QO77" s="10"/>
      <c r="QP77" s="10"/>
      <c r="QQ77" s="10"/>
      <c r="QR77" s="10"/>
      <c r="QS77" s="10"/>
      <c r="QT77" s="10"/>
      <c r="QU77" s="10"/>
      <c r="QV77" s="10"/>
      <c r="QW77" s="10"/>
      <c r="QX77" s="10"/>
      <c r="QY77" s="10"/>
      <c r="QZ77" s="10"/>
      <c r="RA77" s="10"/>
      <c r="RB77" s="10"/>
      <c r="RC77" s="10"/>
      <c r="RD77" s="10"/>
      <c r="RE77" s="10"/>
      <c r="RF77" s="10"/>
      <c r="RG77" s="10"/>
      <c r="RH77" s="10"/>
      <c r="RI77" s="10"/>
      <c r="RJ77" s="10"/>
      <c r="RK77" s="10"/>
      <c r="RL77" s="10"/>
      <c r="RM77" s="10"/>
      <c r="RN77" s="10"/>
      <c r="RO77" s="10"/>
      <c r="RP77" s="10"/>
      <c r="RQ77" s="10"/>
      <c r="RR77" s="10"/>
      <c r="RS77" s="10"/>
      <c r="RT77" s="10"/>
      <c r="RU77" s="10"/>
      <c r="RV77" s="10"/>
      <c r="RW77" s="10"/>
      <c r="RX77" s="10"/>
      <c r="RY77" s="10"/>
      <c r="RZ77" s="10"/>
      <c r="SA77" s="10"/>
      <c r="SB77" s="10"/>
      <c r="SC77" s="10"/>
      <c r="SD77" s="10"/>
      <c r="SE77" s="10"/>
      <c r="SF77" s="10"/>
      <c r="SG77" s="10"/>
      <c r="SH77" s="10"/>
      <c r="SI77" s="411"/>
      <c r="SJ77" s="10"/>
      <c r="SK77" s="10"/>
      <c r="SL77" s="10"/>
      <c r="SM77" s="10"/>
      <c r="SN77" s="10"/>
      <c r="SO77" s="10"/>
      <c r="SP77" s="10"/>
      <c r="SQ77" s="10"/>
      <c r="SR77" s="10"/>
      <c r="SS77" s="10"/>
      <c r="ST77" s="10"/>
      <c r="SU77" s="10"/>
      <c r="SV77" s="10"/>
      <c r="SW77" s="10"/>
      <c r="SX77" s="10"/>
      <c r="SY77" s="10"/>
      <c r="SZ77" s="10"/>
      <c r="TA77" s="10"/>
      <c r="TB77" s="10"/>
      <c r="TC77" s="10"/>
      <c r="TD77" s="10"/>
      <c r="TE77" s="10"/>
      <c r="TF77" s="10"/>
      <c r="TG77" s="10"/>
      <c r="TH77" s="10"/>
      <c r="TI77" s="10"/>
      <c r="TJ77" s="10"/>
      <c r="TK77" s="10"/>
      <c r="TL77" s="10"/>
      <c r="TM77" s="10"/>
      <c r="TN77" s="10"/>
      <c r="TO77" s="10"/>
      <c r="TP77" s="10"/>
      <c r="TQ77" s="10"/>
      <c r="TR77" s="10"/>
      <c r="TS77" s="10"/>
      <c r="TT77" s="10"/>
      <c r="TU77" s="10"/>
      <c r="TV77" s="10"/>
      <c r="TW77" s="10"/>
      <c r="TX77" s="10"/>
      <c r="TY77" s="10"/>
      <c r="TZ77" s="10"/>
      <c r="UA77" s="10"/>
      <c r="UB77" s="10"/>
      <c r="UC77" s="10"/>
      <c r="UD77" s="10"/>
      <c r="UE77" s="10"/>
      <c r="UF77" s="10"/>
      <c r="UG77" s="10"/>
      <c r="UH77" s="10"/>
      <c r="UI77" s="10"/>
      <c r="UJ77" s="10"/>
      <c r="UK77" s="10"/>
      <c r="UL77" s="10"/>
      <c r="UM77" s="10"/>
      <c r="UN77" s="10"/>
      <c r="UO77" s="10"/>
      <c r="UP77" s="10"/>
      <c r="UQ77" s="10"/>
      <c r="UR77" s="10"/>
      <c r="US77" s="10"/>
      <c r="UT77" s="10"/>
      <c r="UU77" s="10"/>
      <c r="UV77" s="10"/>
      <c r="UW77" s="10"/>
      <c r="UX77" s="10"/>
      <c r="UY77" s="10"/>
      <c r="UZ77" s="10"/>
      <c r="VA77" s="10"/>
      <c r="VB77" s="10"/>
      <c r="AFG77" s="10"/>
      <c r="AFN77" s="10"/>
      <c r="AFU77" s="10"/>
      <c r="AHA77" s="10"/>
      <c r="AHB77" s="10"/>
      <c r="AHC77" s="10"/>
      <c r="AHD77" s="10"/>
      <c r="AHE77" s="10"/>
      <c r="AHF77" s="10"/>
      <c r="AHG77" s="10"/>
    </row>
    <row r="78" s="11" customFormat="true" ht="15" hidden="false" customHeight="false" outlineLevel="0" collapsed="false">
      <c r="A78" s="12"/>
      <c r="B78" s="12"/>
      <c r="C78" s="12"/>
      <c r="D78" s="45"/>
      <c r="E78" s="412" t="s">
        <v>90</v>
      </c>
      <c r="F78" s="412"/>
      <c r="G78" s="412"/>
      <c r="H78" s="412"/>
      <c r="I78" s="412"/>
      <c r="J78" s="412"/>
      <c r="K78" s="412"/>
      <c r="L78" s="412"/>
      <c r="M78" s="412"/>
      <c r="N78" s="412"/>
      <c r="O78" s="144"/>
      <c r="P78" s="62"/>
      <c r="Q78" s="19"/>
      <c r="R78" s="19"/>
      <c r="S78" s="331"/>
      <c r="T78" s="331"/>
      <c r="U78" s="331"/>
      <c r="V78" s="331"/>
      <c r="W78" s="331"/>
      <c r="X78" s="331"/>
      <c r="Y78" s="331"/>
      <c r="Z78" s="331"/>
      <c r="AA78" s="331"/>
      <c r="AB78" s="331"/>
      <c r="AC78" s="331"/>
      <c r="AD78" s="331"/>
      <c r="AE78" s="23"/>
      <c r="AF78" s="24"/>
      <c r="AG78" s="10"/>
      <c r="AH78" s="10"/>
      <c r="AI78" s="10"/>
      <c r="AJ78" s="10"/>
      <c r="AK78" s="10"/>
      <c r="AL78" s="10"/>
      <c r="AM78" s="10"/>
      <c r="AN78" s="10"/>
      <c r="AO78" s="10"/>
      <c r="AP78" s="10"/>
      <c r="AQ78" s="10"/>
      <c r="AR78" s="10"/>
      <c r="AS78" s="10"/>
      <c r="AT78" s="10"/>
      <c r="AU78" s="10"/>
      <c r="AX78" s="10"/>
      <c r="AY78" s="10"/>
      <c r="AZ78" s="10"/>
      <c r="BA78" s="10"/>
      <c r="BB78" s="10"/>
      <c r="CC78" s="10"/>
      <c r="CD78" s="74"/>
      <c r="CE78" s="10"/>
      <c r="CF78" s="10"/>
      <c r="CG78" s="10"/>
      <c r="OE78" s="10"/>
      <c r="OF78" s="10"/>
      <c r="OG78" s="10"/>
      <c r="OH78" s="10"/>
      <c r="OI78" s="411"/>
      <c r="OJ78" s="10"/>
      <c r="OK78" s="10"/>
      <c r="OL78" s="10"/>
      <c r="OM78" s="10"/>
      <c r="ON78" s="10"/>
      <c r="OO78" s="10"/>
      <c r="OP78" s="10"/>
      <c r="OQ78" s="10"/>
      <c r="OR78" s="10"/>
      <c r="OS78" s="10"/>
      <c r="OT78" s="10"/>
      <c r="OU78" s="10"/>
      <c r="OV78" s="10"/>
      <c r="OW78" s="10"/>
      <c r="OX78" s="411"/>
      <c r="OY78" s="411"/>
      <c r="OZ78" s="10"/>
      <c r="PA78" s="10"/>
      <c r="PB78" s="10"/>
      <c r="PC78" s="10"/>
      <c r="PD78" s="10"/>
      <c r="PE78" s="10"/>
      <c r="PF78" s="10"/>
      <c r="PG78" s="10"/>
      <c r="PH78" s="10"/>
      <c r="PI78" s="10"/>
      <c r="PJ78" s="10"/>
      <c r="PK78" s="10"/>
      <c r="PL78" s="10"/>
      <c r="PM78" s="10"/>
      <c r="PN78" s="10"/>
      <c r="PO78" s="10"/>
      <c r="PP78" s="10"/>
      <c r="PQ78" s="10"/>
      <c r="PR78" s="10"/>
      <c r="PS78" s="10"/>
      <c r="PT78" s="411"/>
      <c r="PU78" s="10"/>
      <c r="PV78" s="10"/>
      <c r="PW78" s="10"/>
      <c r="PX78" s="10"/>
      <c r="PY78" s="10"/>
      <c r="PZ78" s="10"/>
      <c r="QA78" s="10"/>
      <c r="QB78" s="10"/>
      <c r="QC78" s="10"/>
      <c r="QD78" s="10"/>
      <c r="QE78" s="10"/>
      <c r="QF78" s="10"/>
      <c r="QG78" s="10"/>
      <c r="QH78" s="10"/>
      <c r="QI78" s="10"/>
      <c r="QJ78" s="10"/>
      <c r="QK78" s="10"/>
      <c r="QL78" s="10"/>
      <c r="QM78" s="411"/>
      <c r="QN78" s="10"/>
      <c r="QO78" s="10"/>
      <c r="QP78" s="10"/>
      <c r="QQ78" s="10"/>
      <c r="QR78" s="10"/>
      <c r="QS78" s="10"/>
      <c r="QT78" s="10"/>
      <c r="QU78" s="10"/>
      <c r="QV78" s="10"/>
      <c r="QW78" s="10"/>
      <c r="QX78" s="10"/>
      <c r="QY78" s="10"/>
      <c r="QZ78" s="411"/>
      <c r="RA78" s="10"/>
      <c r="RB78" s="10"/>
      <c r="RC78" s="10"/>
      <c r="RD78" s="10"/>
      <c r="RE78" s="10"/>
      <c r="RF78" s="10"/>
      <c r="RG78" s="10"/>
      <c r="RH78" s="10"/>
      <c r="RI78" s="10"/>
      <c r="RJ78" s="10"/>
      <c r="RK78" s="10"/>
      <c r="RL78" s="10"/>
      <c r="RM78" s="10"/>
      <c r="RN78" s="10"/>
      <c r="RO78" s="10"/>
      <c r="RP78" s="10"/>
      <c r="RQ78" s="10"/>
      <c r="RR78" s="10"/>
      <c r="RS78" s="10"/>
      <c r="RT78" s="10"/>
      <c r="RU78" s="10"/>
      <c r="RV78" s="10"/>
      <c r="RW78" s="10"/>
      <c r="RX78" s="10"/>
      <c r="RY78" s="10"/>
      <c r="RZ78" s="10"/>
      <c r="SA78" s="10"/>
      <c r="SB78" s="411"/>
      <c r="SC78" s="10"/>
      <c r="SD78" s="10"/>
      <c r="SE78" s="10"/>
      <c r="SF78" s="10"/>
      <c r="SG78" s="10"/>
      <c r="SH78" s="10"/>
      <c r="SI78" s="10"/>
      <c r="SJ78" s="10"/>
      <c r="SK78" s="10"/>
      <c r="SL78" s="10"/>
      <c r="SM78" s="10"/>
      <c r="SN78" s="10"/>
      <c r="SO78" s="10"/>
      <c r="SP78" s="10"/>
      <c r="SQ78" s="10"/>
      <c r="SR78" s="10"/>
      <c r="SS78" s="10"/>
      <c r="ST78" s="10"/>
      <c r="SU78" s="10"/>
      <c r="SV78" s="10"/>
      <c r="SW78" s="10"/>
      <c r="SX78" s="10"/>
      <c r="SY78" s="10"/>
      <c r="SZ78" s="10"/>
      <c r="TA78" s="10"/>
      <c r="TB78" s="10"/>
      <c r="TC78" s="10"/>
      <c r="TD78" s="10"/>
      <c r="TE78" s="10"/>
      <c r="TF78" s="10"/>
      <c r="TG78" s="10"/>
      <c r="TH78" s="10"/>
      <c r="TI78" s="10"/>
      <c r="TJ78" s="10"/>
      <c r="TK78" s="10"/>
      <c r="TL78" s="10"/>
      <c r="TM78" s="10"/>
      <c r="TN78" s="10"/>
      <c r="TO78" s="10"/>
      <c r="TP78" s="10"/>
      <c r="TQ78" s="10"/>
      <c r="TR78" s="10"/>
      <c r="TS78" s="10"/>
      <c r="TT78" s="10"/>
      <c r="TU78" s="10"/>
      <c r="TV78" s="10"/>
      <c r="TW78" s="10"/>
      <c r="TX78" s="10"/>
      <c r="TY78" s="10"/>
      <c r="TZ78" s="10"/>
      <c r="UA78" s="10"/>
      <c r="UB78" s="10"/>
      <c r="UC78" s="10"/>
      <c r="UD78" s="10"/>
      <c r="UE78" s="10"/>
      <c r="UF78" s="10"/>
      <c r="UG78" s="10"/>
      <c r="UH78" s="10"/>
      <c r="UI78" s="10"/>
      <c r="UJ78" s="10"/>
      <c r="UK78" s="10"/>
      <c r="UL78" s="10"/>
      <c r="UM78" s="10"/>
      <c r="UN78" s="10"/>
      <c r="UO78" s="10"/>
      <c r="UP78" s="10"/>
      <c r="UQ78" s="10"/>
      <c r="UR78" s="10"/>
      <c r="US78" s="10"/>
      <c r="UT78" s="10"/>
      <c r="UU78" s="10"/>
      <c r="UV78" s="10"/>
      <c r="UW78" s="10"/>
      <c r="UX78" s="10"/>
      <c r="UY78" s="10"/>
      <c r="UZ78" s="10"/>
      <c r="VA78" s="10"/>
      <c r="VB78" s="10"/>
    </row>
    <row r="79" customFormat="false" ht="15" hidden="false" customHeight="true" outlineLevel="0" collapsed="false">
      <c r="A79" s="12"/>
      <c r="B79" s="12"/>
      <c r="C79" s="12"/>
      <c r="D79" s="45"/>
      <c r="E79" s="25"/>
      <c r="F79" s="26" t="str">
        <f aca="false">F3</f>
        <v>Fecha</v>
      </c>
      <c r="G79" s="26" t="str">
        <f aca="false">G3</f>
        <v>Hora</v>
      </c>
      <c r="H79" s="27"/>
      <c r="I79" s="28" t="s">
        <v>83</v>
      </c>
      <c r="J79" s="376" t="s">
        <v>88</v>
      </c>
      <c r="K79" s="29" t="str">
        <f aca="false">K3</f>
        <v>Gol</v>
      </c>
      <c r="L79" s="29" t="str">
        <f aca="false">L3</f>
        <v>Gol</v>
      </c>
      <c r="M79" s="377" t="s">
        <v>88</v>
      </c>
      <c r="N79" s="30" t="s">
        <v>85</v>
      </c>
      <c r="O79" s="144"/>
      <c r="P79" s="62"/>
      <c r="Q79" s="19"/>
      <c r="R79" s="19"/>
      <c r="S79" s="19"/>
      <c r="T79" s="19"/>
      <c r="U79" s="19"/>
      <c r="V79" s="20"/>
      <c r="W79" s="20"/>
      <c r="X79" s="20"/>
      <c r="Y79" s="20"/>
      <c r="Z79" s="20"/>
      <c r="AA79" s="22"/>
      <c r="AB79" s="22"/>
      <c r="AC79" s="22"/>
      <c r="AD79" s="22"/>
      <c r="AE79" s="23"/>
      <c r="AF79" s="24"/>
      <c r="AV79" s="11"/>
      <c r="AW79" s="11"/>
      <c r="BB79" s="11"/>
      <c r="BD79" s="11"/>
      <c r="BE79" s="11"/>
      <c r="BF79" s="11"/>
      <c r="BG79" s="11"/>
      <c r="BH79" s="11"/>
      <c r="BI79" s="11"/>
      <c r="BJ79" s="11"/>
      <c r="BK79" s="11"/>
      <c r="BL79" s="11"/>
      <c r="BM79" s="11"/>
      <c r="BN79" s="11"/>
      <c r="BO79" s="11"/>
      <c r="BP79" s="11"/>
      <c r="BQ79" s="11"/>
      <c r="BR79" s="11"/>
      <c r="BS79" s="11"/>
      <c r="BZ79" s="11"/>
      <c r="CA79" s="11"/>
      <c r="CD79" s="74"/>
      <c r="CH79" s="11"/>
    </row>
    <row r="80" customFormat="false" ht="15" hidden="false" customHeight="true" outlineLevel="0" collapsed="false">
      <c r="A80" s="12"/>
      <c r="B80" s="12"/>
      <c r="C80" s="12"/>
      <c r="D80" s="45"/>
      <c r="E80" s="378" t="s">
        <v>91</v>
      </c>
      <c r="F80" s="379" t="n">
        <f aca="false">Horarios!C80</f>
        <v>44904.75</v>
      </c>
      <c r="G80" s="380" t="n">
        <f aca="false">Horarios!C80</f>
        <v>44904.75</v>
      </c>
      <c r="H80" s="381"/>
      <c r="I80" s="382" t="str">
        <f aca="false">IF(AND(OR(K73="",L73="")),"W53",IF(K73&gt;L73,I73,IF(K73&lt;L73,N73,IF(AND(K73=L73,J73=M73),"W53",IF(AND(K73=L73,OR(J73="",M73="")),"W53",IF(AND(K73=L73,J73&gt;M73),I73,N73))))))</f>
        <v>Croacia</v>
      </c>
      <c r="J80" s="383"/>
      <c r="K80" s="384"/>
      <c r="L80" s="384"/>
      <c r="M80" s="385"/>
      <c r="N80" s="386" t="str">
        <f aca="false">IF(AND(OR(K74="",L74="")),"W54",IF(K74&gt;L74,I74,IF(K74&lt;L74,N74,IF(AND(K74=L74,J74=M74),"W54",IF(AND(K74=L74,OR(J74="",M74="")),"W54",IF(AND(K74=L74,J74&gt;M74),I74,N74))))))</f>
        <v>Brasil</v>
      </c>
      <c r="O80" s="387" t="n">
        <f aca="false">IF(N86="W58",0,1)</f>
        <v>0</v>
      </c>
      <c r="P80" s="413" t="n">
        <v>58</v>
      </c>
      <c r="Q80" s="414"/>
      <c r="R80" s="414"/>
      <c r="S80" s="414"/>
      <c r="T80" s="414"/>
      <c r="U80" s="414"/>
      <c r="V80" s="414"/>
      <c r="W80" s="414"/>
      <c r="X80" s="414"/>
      <c r="Y80" s="414"/>
      <c r="Z80" s="414"/>
      <c r="AA80" s="22"/>
      <c r="AB80" s="22"/>
      <c r="AC80" s="22"/>
      <c r="AD80" s="22"/>
      <c r="AE80" s="23"/>
      <c r="AF80" s="24"/>
      <c r="AV80" s="11"/>
      <c r="AW80" s="11"/>
      <c r="BB80" s="11"/>
      <c r="BC80" s="11"/>
      <c r="BD80" s="11"/>
      <c r="BE80" s="11"/>
      <c r="BF80" s="11"/>
      <c r="BG80" s="11"/>
      <c r="BH80" s="11"/>
      <c r="BI80" s="11"/>
      <c r="BJ80" s="11"/>
      <c r="BK80" s="11"/>
      <c r="BM80" s="11"/>
      <c r="BN80" s="11"/>
      <c r="BO80" s="11"/>
      <c r="BP80" s="11"/>
      <c r="BQ80" s="11"/>
      <c r="BR80" s="11"/>
      <c r="BS80" s="11"/>
      <c r="BZ80" s="11"/>
      <c r="CA80" s="11"/>
      <c r="CD80" s="74"/>
      <c r="CH80" s="11"/>
    </row>
    <row r="81" customFormat="false" ht="15" hidden="false" customHeight="true" outlineLevel="0" collapsed="false">
      <c r="A81" s="12"/>
      <c r="B81" s="12"/>
      <c r="C81" s="12"/>
      <c r="D81" s="45"/>
      <c r="E81" s="378"/>
      <c r="F81" s="391" t="n">
        <f aca="false">Horarios!C81</f>
        <v>44904.9166666667</v>
      </c>
      <c r="G81" s="392" t="n">
        <f aca="false">Horarios!C81</f>
        <v>44904.9166666667</v>
      </c>
      <c r="H81" s="393"/>
      <c r="I81" s="394" t="str">
        <f aca="false">IF(AND(OR(K69="",L69="")),"W49",IF(K69&gt;L69,I69,IF(K69&lt;L69,N69,IF(AND(K69=L69,J69=M69),"W49",IF(AND(K69=L69,OR(J69="",M69="")),"W49",IF(AND(K69=L69,J69&gt;M69),I69,N69))))))</f>
        <v>Paises Bajos</v>
      </c>
      <c r="J81" s="395"/>
      <c r="K81" s="403"/>
      <c r="L81" s="403"/>
      <c r="M81" s="395"/>
      <c r="N81" s="397" t="str">
        <f aca="false">IF(AND(OR(K70="",L70="")),"W50",IF(K70&gt;L70,I70,IF(K70&lt;L70,N70,IF(AND(K70=L70,J70=M70),"W50",IF(AND(K70=L70,OR(J70="",M70="")),"W50",IF(AND(K70=L70,J70&gt;M70),I70,N70))))))</f>
        <v>Argentina</v>
      </c>
      <c r="O81" s="387" t="n">
        <f aca="false">IF(I86="W57",0,1)</f>
        <v>0</v>
      </c>
      <c r="P81" s="413" t="n">
        <v>57</v>
      </c>
      <c r="Q81" s="414"/>
      <c r="R81" s="414"/>
      <c r="S81" s="414"/>
      <c r="T81" s="414"/>
      <c r="U81" s="414"/>
      <c r="V81" s="414"/>
      <c r="W81" s="414"/>
      <c r="X81" s="414"/>
      <c r="Y81" s="414"/>
      <c r="Z81" s="414"/>
      <c r="AA81" s="22"/>
      <c r="AB81" s="22"/>
      <c r="AC81" s="22"/>
      <c r="AD81" s="22"/>
      <c r="AE81" s="23"/>
      <c r="AF81" s="24"/>
      <c r="AV81" s="11"/>
      <c r="AW81" s="11"/>
      <c r="BB81" s="11"/>
      <c r="BC81" s="11"/>
      <c r="BD81" s="11"/>
      <c r="BE81" s="11"/>
      <c r="BF81" s="11"/>
      <c r="BG81" s="11"/>
      <c r="BH81" s="11"/>
      <c r="BI81" s="11"/>
      <c r="BJ81" s="11"/>
      <c r="BK81" s="11"/>
      <c r="BL81" s="11"/>
      <c r="BM81" s="11"/>
      <c r="BN81" s="11"/>
      <c r="BO81" s="11"/>
      <c r="BP81" s="11"/>
      <c r="BQ81" s="11"/>
      <c r="BR81" s="11"/>
      <c r="BS81" s="11"/>
      <c r="BZ81" s="11"/>
      <c r="CA81" s="11"/>
      <c r="CD81" s="74"/>
      <c r="CH81" s="11"/>
    </row>
    <row r="82" customFormat="false" ht="15" hidden="false" customHeight="true" outlineLevel="0" collapsed="false">
      <c r="A82" s="12"/>
      <c r="B82" s="12"/>
      <c r="C82" s="12"/>
      <c r="D82" s="45"/>
      <c r="E82" s="378"/>
      <c r="F82" s="391" t="n">
        <f aca="false">Horarios!C82</f>
        <v>44905.75</v>
      </c>
      <c r="G82" s="392" t="n">
        <f aca="false">Horarios!C82</f>
        <v>44905.75</v>
      </c>
      <c r="H82" s="398"/>
      <c r="I82" s="394" t="str">
        <f aca="false">IF(AND(OR(K75="",L75="")),"W55",IF(K75&gt;L75,I75,IF(K75&lt;L75,N75,IF(AND(K75=L75,J75=M75),"W55",IF(AND(K75=L75,OR(J75="",M75="")),"W55",IF(AND(K75=L75,J75&gt;M75),I75,N75))))))</f>
        <v>España</v>
      </c>
      <c r="J82" s="395"/>
      <c r="K82" s="403"/>
      <c r="L82" s="403"/>
      <c r="M82" s="395"/>
      <c r="N82" s="397" t="str">
        <f aca="false">IF(AND(OR(K76="",L76="")),"W56",IF(K76&gt;L76,I76,IF(K76&lt;L76,N76,IF(AND(K76=L76,J76=M76),"W56",IF(AND(K76=L76,OR(J76="",M76="")),"W56",IF(AND(K76=L76,J76&gt;M76),I76,N76))))))</f>
        <v>Portugal</v>
      </c>
      <c r="O82" s="387" t="n">
        <f aca="false">IF(N87="W60",0,1)</f>
        <v>0</v>
      </c>
      <c r="P82" s="413" t="n">
        <v>60</v>
      </c>
      <c r="Q82" s="414"/>
      <c r="R82" s="414"/>
      <c r="S82" s="414"/>
      <c r="T82" s="414"/>
      <c r="U82" s="414"/>
      <c r="V82" s="414"/>
      <c r="W82" s="414"/>
      <c r="X82" s="414"/>
      <c r="Y82" s="414"/>
      <c r="Z82" s="414"/>
      <c r="AA82" s="22"/>
      <c r="AB82" s="22"/>
      <c r="AC82" s="22"/>
      <c r="AD82" s="22"/>
      <c r="AE82" s="23"/>
      <c r="AF82" s="24"/>
      <c r="AG82" s="11"/>
      <c r="BB82" s="11"/>
      <c r="BC82" s="11"/>
      <c r="BD82" s="11"/>
      <c r="BE82" s="11"/>
      <c r="BF82" s="11"/>
      <c r="BG82" s="11"/>
      <c r="BH82" s="11"/>
      <c r="BI82" s="11"/>
      <c r="BJ82" s="11"/>
      <c r="BK82" s="11"/>
      <c r="BL82" s="11"/>
      <c r="BM82" s="11"/>
      <c r="BN82" s="11"/>
      <c r="BO82" s="11"/>
      <c r="BP82" s="11"/>
      <c r="BQ82" s="11"/>
      <c r="BR82" s="11"/>
      <c r="BS82" s="11"/>
      <c r="BZ82" s="11"/>
      <c r="CA82" s="11"/>
      <c r="CD82" s="74"/>
      <c r="CH82" s="11"/>
    </row>
    <row r="83" customFormat="false" ht="15" hidden="false" customHeight="true" outlineLevel="0" collapsed="false">
      <c r="A83" s="12"/>
      <c r="B83" s="12"/>
      <c r="C83" s="12"/>
      <c r="D83" s="45"/>
      <c r="E83" s="378"/>
      <c r="F83" s="404" t="n">
        <f aca="false">Horarios!C83</f>
        <v>44905.9166666667</v>
      </c>
      <c r="G83" s="405" t="n">
        <f aca="false">Horarios!C83</f>
        <v>44905.9166666667</v>
      </c>
      <c r="H83" s="406"/>
      <c r="I83" s="407" t="str">
        <f aca="false">IF(AND(OR(K72="",L72="")),"W51",IF(K72&gt;L72,I72,IF(K72&lt;L72,N72,IF(AND(K72=L72,J72=M72),"W51",IF(AND(K72=L72,OR(J72="",M72="")),"W51",IF(AND(K72=L72,J72&gt;M72),I72,N72))))))</f>
        <v>Inglaterra</v>
      </c>
      <c r="J83" s="408"/>
      <c r="K83" s="409"/>
      <c r="L83" s="409"/>
      <c r="M83" s="408"/>
      <c r="N83" s="410" t="str">
        <f aca="false">IF(AND(OR(K71="",L71="")),"W52",IF(K71&gt;L71,I71,IF(K71&lt;L71,N71,IF(AND(K71=L71,J71=M71),"W52",IF(AND(K71=L71,OR(J71="",M71="")),"W52",IF(AND(K71=L71,J71&gt;M71),I71,N71))))))</f>
        <v>Francia</v>
      </c>
      <c r="O83" s="387" t="n">
        <f aca="false">IF(I87="W59",0,1)</f>
        <v>0</v>
      </c>
      <c r="P83" s="413" t="n">
        <v>59</v>
      </c>
      <c r="Q83" s="414"/>
      <c r="R83" s="414"/>
      <c r="S83" s="414"/>
      <c r="T83" s="414"/>
      <c r="U83" s="414"/>
      <c r="V83" s="414"/>
      <c r="W83" s="414"/>
      <c r="X83" s="414"/>
      <c r="Y83" s="414"/>
      <c r="Z83" s="414"/>
      <c r="AA83" s="22"/>
      <c r="AB83" s="22"/>
      <c r="AC83" s="22"/>
      <c r="AD83" s="22"/>
      <c r="AE83" s="23"/>
      <c r="AF83" s="24"/>
      <c r="AG83" s="11"/>
      <c r="BB83" s="11"/>
      <c r="BC83" s="11"/>
      <c r="BD83" s="11"/>
      <c r="BE83" s="11"/>
      <c r="BF83" s="11"/>
      <c r="BG83" s="11"/>
      <c r="BH83" s="11"/>
      <c r="BI83" s="11"/>
      <c r="BJ83" s="11"/>
      <c r="BK83" s="11"/>
      <c r="BL83" s="11"/>
      <c r="BM83" s="11"/>
      <c r="BN83" s="11"/>
      <c r="BO83" s="11"/>
      <c r="BP83" s="11"/>
      <c r="BQ83" s="11"/>
      <c r="BR83" s="11"/>
      <c r="BS83" s="11"/>
      <c r="BZ83" s="11"/>
      <c r="CA83" s="11"/>
      <c r="CD83" s="74"/>
      <c r="CH83" s="11"/>
    </row>
    <row r="84" customFormat="false" ht="15" hidden="false" customHeight="false" outlineLevel="0" collapsed="false">
      <c r="A84" s="12"/>
      <c r="B84" s="12"/>
      <c r="C84" s="12"/>
      <c r="D84" s="45"/>
      <c r="E84" s="412" t="s">
        <v>92</v>
      </c>
      <c r="F84" s="412"/>
      <c r="G84" s="412"/>
      <c r="H84" s="412"/>
      <c r="I84" s="412"/>
      <c r="J84" s="412"/>
      <c r="K84" s="412"/>
      <c r="L84" s="412"/>
      <c r="M84" s="412"/>
      <c r="N84" s="412"/>
      <c r="O84" s="415"/>
      <c r="P84" s="416"/>
      <c r="Q84" s="414"/>
      <c r="R84" s="414"/>
      <c r="S84" s="414"/>
      <c r="T84" s="414"/>
      <c r="U84" s="414"/>
      <c r="V84" s="414"/>
      <c r="W84" s="414"/>
      <c r="X84" s="414"/>
      <c r="Y84" s="414"/>
      <c r="Z84" s="414"/>
      <c r="AA84" s="414"/>
      <c r="AB84" s="414"/>
      <c r="AC84" s="414"/>
      <c r="AD84" s="22"/>
      <c r="AE84" s="23"/>
      <c r="AF84" s="24"/>
      <c r="AG84" s="11"/>
      <c r="BB84" s="11"/>
      <c r="BC84" s="11"/>
      <c r="BD84" s="11"/>
      <c r="BE84" s="11"/>
      <c r="BF84" s="11"/>
      <c r="BG84" s="11"/>
      <c r="BH84" s="11"/>
      <c r="BI84" s="11"/>
      <c r="BJ84" s="11"/>
      <c r="BK84" s="11"/>
      <c r="BL84" s="11"/>
      <c r="BM84" s="11"/>
      <c r="BN84" s="11"/>
      <c r="BO84" s="11"/>
      <c r="BP84" s="11"/>
      <c r="BQ84" s="11"/>
      <c r="BR84" s="11"/>
      <c r="BS84" s="11"/>
      <c r="BZ84" s="11"/>
      <c r="CA84" s="11"/>
      <c r="CH84" s="11"/>
    </row>
    <row r="85" s="11" customFormat="true" ht="15.75" hidden="false" customHeight="false" outlineLevel="0" collapsed="false">
      <c r="A85" s="12"/>
      <c r="B85" s="12"/>
      <c r="C85" s="12"/>
      <c r="D85" s="45"/>
      <c r="E85" s="25"/>
      <c r="F85" s="26" t="str">
        <f aca="false">F3</f>
        <v>Fecha</v>
      </c>
      <c r="G85" s="26" t="str">
        <f aca="false">G3</f>
        <v>Hora</v>
      </c>
      <c r="H85" s="27"/>
      <c r="I85" s="417" t="s">
        <v>83</v>
      </c>
      <c r="J85" s="418" t="s">
        <v>88</v>
      </c>
      <c r="K85" s="419" t="s">
        <v>16</v>
      </c>
      <c r="L85" s="419" t="s">
        <v>16</v>
      </c>
      <c r="M85" s="418" t="s">
        <v>88</v>
      </c>
      <c r="N85" s="30" t="s">
        <v>85</v>
      </c>
      <c r="O85" s="415"/>
      <c r="P85" s="416"/>
      <c r="Q85" s="414"/>
      <c r="R85" s="414"/>
      <c r="S85" s="414"/>
      <c r="T85" s="414"/>
      <c r="U85" s="414"/>
      <c r="V85" s="414"/>
      <c r="W85" s="414"/>
      <c r="X85" s="414"/>
      <c r="Y85" s="414"/>
      <c r="Z85" s="414"/>
      <c r="AA85" s="414"/>
      <c r="AB85" s="414"/>
      <c r="AC85" s="414"/>
      <c r="AD85" s="22"/>
      <c r="AE85" s="23"/>
      <c r="AF85" s="24"/>
      <c r="AH85" s="10"/>
      <c r="AI85" s="10"/>
      <c r="AJ85" s="10"/>
      <c r="AK85" s="10"/>
      <c r="AL85" s="10"/>
      <c r="AM85" s="10"/>
      <c r="AN85" s="10"/>
      <c r="AO85" s="10"/>
      <c r="AP85" s="10"/>
      <c r="AQ85" s="10"/>
      <c r="AR85" s="10"/>
      <c r="AS85" s="10"/>
      <c r="AT85" s="10"/>
      <c r="AU85" s="10"/>
      <c r="BB85" s="10"/>
      <c r="BT85" s="10"/>
      <c r="BU85" s="10"/>
      <c r="BV85" s="10"/>
      <c r="BW85" s="10"/>
      <c r="BX85" s="10"/>
      <c r="BY85" s="10"/>
      <c r="CB85" s="10"/>
      <c r="CC85" s="61"/>
      <c r="CD85" s="61"/>
      <c r="CE85" s="61"/>
      <c r="CF85" s="61"/>
      <c r="CG85" s="61"/>
      <c r="CH85" s="420"/>
    </row>
    <row r="86" customFormat="false" ht="15" hidden="false" customHeight="true" outlineLevel="0" collapsed="false">
      <c r="A86" s="12"/>
      <c r="B86" s="12"/>
      <c r="C86" s="12"/>
      <c r="D86" s="45"/>
      <c r="E86" s="421" t="s">
        <v>93</v>
      </c>
      <c r="F86" s="379" t="n">
        <f aca="false">Horarios!C86</f>
        <v>44908.9166666667</v>
      </c>
      <c r="G86" s="380" t="n">
        <f aca="false">Horarios!C86</f>
        <v>44908.9166666667</v>
      </c>
      <c r="H86" s="379"/>
      <c r="I86" s="382" t="str">
        <f aca="false">IF(AND(OR(K81="",L81="")),"W57",IF(K81&gt;L81,I81,IF(K81&lt;L81,N81,IF(AND(K81=L81,J81=M81),"W57",IF(AND(K81=L81,OR(J81="",M81="")),"WC57",IF(AND(K81=L81,J81&gt;M81),I81,N81))))))</f>
        <v>W57</v>
      </c>
      <c r="J86" s="422"/>
      <c r="K86" s="423"/>
      <c r="L86" s="423"/>
      <c r="M86" s="422"/>
      <c r="N86" s="424" t="str">
        <f aca="false">IF(AND(OR(K80="",L80="")),"W58",IF(K80&gt;L80,I80,IF(K80&lt;L80,N80,IF(AND(K80=L80,J80=M80),"W58",IF(AND(K80=L80,OR(J80="",M80="")),"W58",IF(AND(K80=L80,J80&gt;M80),I80,N80))))))</f>
        <v>W58</v>
      </c>
      <c r="O86" s="387" t="n">
        <f aca="false">IF(I93="W61",0,1)</f>
        <v>0</v>
      </c>
      <c r="P86" s="413" t="n">
        <v>61</v>
      </c>
      <c r="Q86" s="414"/>
      <c r="R86" s="414"/>
      <c r="S86" s="414"/>
      <c r="T86" s="414"/>
      <c r="U86" s="414"/>
      <c r="V86" s="414"/>
      <c r="W86" s="414"/>
      <c r="X86" s="414"/>
      <c r="Y86" s="414"/>
      <c r="Z86" s="414"/>
      <c r="AA86" s="414"/>
      <c r="AB86" s="414"/>
      <c r="AC86" s="414"/>
      <c r="AD86" s="425"/>
      <c r="AE86" s="426"/>
      <c r="AF86" s="427"/>
      <c r="AV86" s="11"/>
      <c r="AW86" s="11"/>
      <c r="AX86" s="11"/>
      <c r="AY86" s="11"/>
      <c r="AZ86" s="11"/>
      <c r="BA86" s="11"/>
      <c r="BC86" s="11"/>
      <c r="BD86" s="11"/>
      <c r="BE86" s="11"/>
      <c r="BF86" s="11"/>
      <c r="BG86" s="11"/>
      <c r="BH86" s="11"/>
      <c r="BI86" s="11"/>
      <c r="BJ86" s="11"/>
      <c r="BK86" s="11"/>
      <c r="BL86" s="11"/>
      <c r="BM86" s="11"/>
      <c r="BN86" s="11"/>
      <c r="BO86" s="11"/>
      <c r="BP86" s="11"/>
      <c r="BQ86" s="11"/>
      <c r="BR86" s="11"/>
      <c r="BS86" s="11"/>
      <c r="BZ86" s="11"/>
      <c r="CA86" s="11"/>
      <c r="CD86" s="74"/>
      <c r="CH86" s="11"/>
    </row>
    <row r="87" customFormat="false" ht="13.8" hidden="false" customHeight="false" outlineLevel="0" collapsed="false">
      <c r="A87" s="12"/>
      <c r="B87" s="12"/>
      <c r="C87" s="12"/>
      <c r="D87" s="45"/>
      <c r="E87" s="421"/>
      <c r="F87" s="404" t="n">
        <f aca="false">Horarios!C87</f>
        <v>44909.9166666667</v>
      </c>
      <c r="G87" s="405" t="n">
        <f aca="false">Horarios!C87</f>
        <v>44909.9166666667</v>
      </c>
      <c r="H87" s="404"/>
      <c r="I87" s="407" t="str">
        <f aca="false">IF(AND(OR(K83="",L83="")),"W59",IF(K83&gt;L83,I83,IF(K83&lt;L83,N83,IF(AND(K83=L83,J83=M83),"W59",IF(AND(K83=L83,OR(J83="",M83="")),"W59",IF(AND(K83=L83,J83&gt;M83),I83,N83))))))</f>
        <v>W59</v>
      </c>
      <c r="J87" s="428"/>
      <c r="K87" s="429"/>
      <c r="L87" s="429"/>
      <c r="M87" s="428"/>
      <c r="N87" s="430" t="str">
        <f aca="false">IF(AND(OR(K82="",L82="")),"W60",IF(K82&gt;L82,I82,IF(K82&lt;L82,N82,IF(AND(K82=L82,J82=M82),"W60",IF(AND(K82=L82,OR(J82="",M82="")),"W60",IF(AND(K82=L82,J82&gt;M82),I82,N82))))))</f>
        <v>W60</v>
      </c>
      <c r="O87" s="387" t="n">
        <f aca="false">IF(N93="W62",0,1)</f>
        <v>0</v>
      </c>
      <c r="P87" s="413" t="n">
        <v>62</v>
      </c>
      <c r="Q87" s="414"/>
      <c r="R87" s="414"/>
      <c r="S87" s="414"/>
      <c r="T87" s="414"/>
      <c r="U87" s="414"/>
      <c r="V87" s="414"/>
      <c r="W87" s="414"/>
      <c r="X87" s="414"/>
      <c r="Y87" s="414"/>
      <c r="Z87" s="414"/>
      <c r="AA87" s="414"/>
      <c r="AB87" s="414"/>
      <c r="AC87" s="414"/>
      <c r="AD87" s="35"/>
      <c r="AE87" s="35"/>
      <c r="AF87" s="427"/>
      <c r="BC87" s="11"/>
      <c r="BD87" s="11"/>
      <c r="BE87" s="11"/>
      <c r="BF87" s="11"/>
      <c r="BG87" s="11"/>
      <c r="BH87" s="11"/>
      <c r="BI87" s="431"/>
      <c r="BJ87" s="11"/>
      <c r="BK87" s="11"/>
      <c r="BL87" s="11"/>
      <c r="BM87" s="11"/>
      <c r="BN87" s="11"/>
      <c r="BO87" s="11"/>
      <c r="BP87" s="11"/>
      <c r="BQ87" s="11"/>
      <c r="BR87" s="11"/>
      <c r="BS87" s="11"/>
      <c r="BZ87" s="11"/>
      <c r="CA87" s="11"/>
      <c r="CD87" s="74"/>
      <c r="CH87" s="11"/>
      <c r="CI87" s="10"/>
    </row>
    <row r="88" customFormat="false" ht="15" hidden="false" customHeight="false" outlineLevel="0" collapsed="false">
      <c r="A88" s="12"/>
      <c r="B88" s="12"/>
      <c r="C88" s="12"/>
      <c r="D88" s="45"/>
      <c r="E88" s="412" t="s">
        <v>94</v>
      </c>
      <c r="F88" s="412"/>
      <c r="G88" s="412"/>
      <c r="H88" s="412"/>
      <c r="I88" s="412"/>
      <c r="J88" s="412"/>
      <c r="K88" s="412"/>
      <c r="L88" s="412"/>
      <c r="M88" s="412"/>
      <c r="N88" s="412"/>
      <c r="O88" s="415"/>
      <c r="P88" s="416"/>
      <c r="Q88" s="414"/>
      <c r="R88" s="414"/>
      <c r="S88" s="414"/>
      <c r="T88" s="414"/>
      <c r="U88" s="414"/>
      <c r="V88" s="414"/>
      <c r="W88" s="414"/>
      <c r="X88" s="414"/>
      <c r="Y88" s="414"/>
      <c r="Z88" s="414"/>
      <c r="AA88" s="414"/>
      <c r="AB88" s="414"/>
      <c r="AC88" s="414"/>
      <c r="AD88" s="35"/>
      <c r="AE88" s="35"/>
      <c r="AF88" s="427"/>
      <c r="BC88" s="11"/>
      <c r="BD88" s="11"/>
      <c r="BE88" s="11"/>
      <c r="BF88" s="11"/>
      <c r="BG88" s="11"/>
      <c r="BH88" s="11"/>
      <c r="BI88" s="431"/>
      <c r="BJ88" s="11"/>
      <c r="BK88" s="11"/>
      <c r="BL88" s="11"/>
      <c r="BM88" s="11"/>
      <c r="BN88" s="11"/>
      <c r="BO88" s="11"/>
      <c r="BP88" s="11"/>
      <c r="BQ88" s="11"/>
      <c r="BR88" s="11"/>
      <c r="BS88" s="11"/>
      <c r="BZ88" s="11"/>
      <c r="CA88" s="11"/>
      <c r="CD88" s="74"/>
      <c r="CH88" s="11"/>
      <c r="CI88" s="10"/>
    </row>
    <row r="89" customFormat="false" ht="15.75" hidden="false" customHeight="false" outlineLevel="0" collapsed="false">
      <c r="A89" s="12"/>
      <c r="B89" s="12"/>
      <c r="C89" s="12"/>
      <c r="D89" s="45"/>
      <c r="E89" s="25"/>
      <c r="F89" s="26" t="str">
        <f aca="false">F3</f>
        <v>Fecha</v>
      </c>
      <c r="G89" s="26" t="str">
        <f aca="false">G3</f>
        <v>Hora</v>
      </c>
      <c r="H89" s="27"/>
      <c r="I89" s="417" t="s">
        <v>83</v>
      </c>
      <c r="J89" s="418" t="s">
        <v>88</v>
      </c>
      <c r="K89" s="419" t="s">
        <v>16</v>
      </c>
      <c r="L89" s="419" t="s">
        <v>16</v>
      </c>
      <c r="M89" s="418" t="s">
        <v>88</v>
      </c>
      <c r="N89" s="30" t="s">
        <v>85</v>
      </c>
      <c r="O89" s="415"/>
      <c r="P89" s="416"/>
      <c r="Q89" s="35"/>
      <c r="R89" s="35"/>
      <c r="S89" s="35"/>
      <c r="T89" s="35"/>
      <c r="U89" s="35"/>
      <c r="V89" s="35"/>
      <c r="W89" s="35"/>
      <c r="X89" s="35"/>
      <c r="Y89" s="35"/>
      <c r="Z89" s="35"/>
      <c r="AA89" s="35"/>
      <c r="AB89" s="35"/>
      <c r="AC89" s="35"/>
      <c r="AD89" s="35"/>
      <c r="AE89" s="35"/>
      <c r="AF89" s="427"/>
      <c r="BC89" s="11"/>
      <c r="BD89" s="11"/>
      <c r="BE89" s="11"/>
      <c r="BF89" s="11"/>
      <c r="BG89" s="11"/>
      <c r="BH89" s="11"/>
      <c r="BI89" s="431"/>
      <c r="BJ89" s="11"/>
      <c r="BK89" s="11"/>
      <c r="BL89" s="11"/>
      <c r="BM89" s="11"/>
      <c r="BN89" s="11"/>
      <c r="BO89" s="11"/>
      <c r="BP89" s="11"/>
      <c r="BQ89" s="11"/>
      <c r="BR89" s="11"/>
      <c r="BS89" s="11"/>
      <c r="BZ89" s="11"/>
      <c r="CA89" s="11"/>
      <c r="CD89" s="74"/>
      <c r="CH89" s="11"/>
    </row>
    <row r="90" customFormat="false" ht="19.7" hidden="false" customHeight="false" outlineLevel="0" collapsed="false">
      <c r="A90" s="12"/>
      <c r="B90" s="12"/>
      <c r="C90" s="12"/>
      <c r="D90" s="45"/>
      <c r="E90" s="432" t="s">
        <v>95</v>
      </c>
      <c r="F90" s="433" t="n">
        <f aca="false">Horarios!C90</f>
        <v>44912.75</v>
      </c>
      <c r="G90" s="434" t="n">
        <f aca="false">Horarios!C90</f>
        <v>44912.75</v>
      </c>
      <c r="H90" s="433"/>
      <c r="I90" s="435" t="str">
        <f aca="false">IF(AND(OR(K86="",L86="")),"L61",IF(K86&gt;L86,N86,IF(K86&lt;L86,I86,IF(AND(K86=L86,J86=M86),"L61",IF(AND(K86=L86,OR(J86="",M86="")),"L61",IF(AND(K86=L86,J86&gt;M86),N86,I86))))))</f>
        <v>L61</v>
      </c>
      <c r="J90" s="436" t="n">
        <v>0</v>
      </c>
      <c r="K90" s="437"/>
      <c r="L90" s="437"/>
      <c r="M90" s="436" t="n">
        <v>2</v>
      </c>
      <c r="N90" s="438" t="str">
        <f aca="false">IF(AND(OR(K87="",L87="")),"L62",IF(K87&gt;L87,N87,IF(K87&lt;L87,I87,IF(AND(K87=L87,J87=M87),"L62",IF(AND(K87=L87,OR(J87="",M87="")),"L62",IF(AND(K87=L87,J87&gt;M87),N87,I87))))))</f>
        <v>L62</v>
      </c>
      <c r="O90" s="387" t="n">
        <f aca="false">IF(I99="W34",0,1)</f>
        <v>0</v>
      </c>
      <c r="P90" s="416" t="n">
        <v>63</v>
      </c>
      <c r="Q90" s="35"/>
      <c r="R90" s="35"/>
      <c r="S90" s="35"/>
      <c r="T90" s="35"/>
      <c r="U90" s="35"/>
      <c r="V90" s="35"/>
      <c r="W90" s="35"/>
      <c r="X90" s="35"/>
      <c r="Y90" s="35"/>
      <c r="Z90" s="35"/>
      <c r="AA90" s="35"/>
      <c r="AB90" s="35"/>
      <c r="AC90" s="35"/>
      <c r="AD90" s="35"/>
      <c r="AE90" s="35"/>
      <c r="AF90" s="24"/>
      <c r="BC90" s="11"/>
      <c r="BD90" s="11"/>
      <c r="BE90" s="11"/>
      <c r="BF90" s="11"/>
      <c r="BG90" s="11"/>
      <c r="BH90" s="11"/>
      <c r="BI90" s="431"/>
      <c r="BJ90" s="11"/>
      <c r="BK90" s="11"/>
      <c r="BL90" s="11"/>
      <c r="BM90" s="11"/>
      <c r="BN90" s="11"/>
      <c r="BO90" s="11"/>
      <c r="BP90" s="11"/>
      <c r="BQ90" s="11"/>
      <c r="BR90" s="11"/>
      <c r="BS90" s="11"/>
      <c r="BZ90" s="11"/>
      <c r="CA90" s="11"/>
      <c r="CD90" s="74"/>
      <c r="CH90" s="11"/>
    </row>
    <row r="91" customFormat="false" ht="15" hidden="false" customHeight="false" outlineLevel="0" collapsed="false">
      <c r="A91" s="12"/>
      <c r="B91" s="12"/>
      <c r="C91" s="12"/>
      <c r="D91" s="13"/>
      <c r="E91" s="412" t="s">
        <v>96</v>
      </c>
      <c r="F91" s="412"/>
      <c r="G91" s="412"/>
      <c r="H91" s="412"/>
      <c r="I91" s="412"/>
      <c r="J91" s="412"/>
      <c r="K91" s="412"/>
      <c r="L91" s="412"/>
      <c r="M91" s="412"/>
      <c r="N91" s="412"/>
      <c r="O91" s="415"/>
      <c r="P91" s="416"/>
      <c r="Q91" s="35"/>
      <c r="R91" s="35"/>
      <c r="S91" s="35"/>
      <c r="T91" s="35"/>
      <c r="U91" s="35"/>
      <c r="V91" s="35"/>
      <c r="W91" s="35"/>
      <c r="X91" s="35"/>
      <c r="Y91" s="35"/>
      <c r="Z91" s="35"/>
      <c r="AA91" s="35"/>
      <c r="AB91" s="35"/>
      <c r="AC91" s="35"/>
      <c r="AD91" s="35"/>
      <c r="AE91" s="35"/>
      <c r="AF91" s="24"/>
      <c r="BC91" s="11"/>
      <c r="BD91" s="11"/>
      <c r="BE91" s="11"/>
      <c r="BF91" s="11"/>
      <c r="BG91" s="11"/>
      <c r="BH91" s="11"/>
      <c r="BI91" s="431"/>
      <c r="BJ91" s="11"/>
      <c r="BK91" s="11"/>
      <c r="BL91" s="11"/>
      <c r="BM91" s="11"/>
      <c r="BN91" s="11"/>
      <c r="BO91" s="11"/>
      <c r="BP91" s="11"/>
      <c r="BQ91" s="11"/>
      <c r="BR91" s="11"/>
      <c r="BS91" s="11"/>
      <c r="BZ91" s="11"/>
      <c r="CA91" s="11"/>
      <c r="CD91" s="74"/>
      <c r="CH91" s="11"/>
    </row>
    <row r="92" customFormat="false" ht="15.75" hidden="false" customHeight="false" outlineLevel="0" collapsed="false">
      <c r="A92" s="12"/>
      <c r="B92" s="12"/>
      <c r="C92" s="12"/>
      <c r="D92" s="13"/>
      <c r="E92" s="25"/>
      <c r="F92" s="26" t="str">
        <f aca="false">F3</f>
        <v>Fecha</v>
      </c>
      <c r="G92" s="26" t="str">
        <f aca="false">G3</f>
        <v>Hora</v>
      </c>
      <c r="H92" s="27"/>
      <c r="I92" s="417" t="s">
        <v>83</v>
      </c>
      <c r="J92" s="418" t="s">
        <v>88</v>
      </c>
      <c r="K92" s="419" t="s">
        <v>16</v>
      </c>
      <c r="L92" s="419" t="s">
        <v>16</v>
      </c>
      <c r="M92" s="418" t="s">
        <v>88</v>
      </c>
      <c r="N92" s="30" t="s">
        <v>85</v>
      </c>
      <c r="O92" s="415"/>
      <c r="P92" s="416"/>
      <c r="Q92" s="35"/>
      <c r="R92" s="35"/>
      <c r="S92" s="35"/>
      <c r="T92" s="35"/>
      <c r="U92" s="35"/>
      <c r="V92" s="35"/>
      <c r="W92" s="35"/>
      <c r="X92" s="35"/>
      <c r="Y92" s="35"/>
      <c r="Z92" s="35"/>
      <c r="AA92" s="35"/>
      <c r="AB92" s="35"/>
      <c r="AC92" s="35"/>
      <c r="AD92" s="35"/>
      <c r="AE92" s="35"/>
      <c r="AF92" s="24"/>
      <c r="BC92" s="11"/>
      <c r="BD92" s="11"/>
      <c r="BE92" s="11"/>
      <c r="BF92" s="11"/>
      <c r="BG92" s="11"/>
      <c r="BH92" s="11"/>
      <c r="BI92" s="431"/>
      <c r="BJ92" s="11"/>
      <c r="BK92" s="11"/>
      <c r="BL92" s="11"/>
      <c r="BM92" s="11"/>
      <c r="BN92" s="11"/>
      <c r="BO92" s="11"/>
      <c r="BP92" s="11"/>
      <c r="BQ92" s="11"/>
      <c r="BR92" s="11"/>
      <c r="BS92" s="11"/>
      <c r="BZ92" s="11"/>
      <c r="CA92" s="11"/>
      <c r="CD92" s="74"/>
      <c r="CH92" s="11"/>
    </row>
    <row r="93" customFormat="false" ht="30" hidden="false" customHeight="true" outlineLevel="0" collapsed="false">
      <c r="A93" s="12"/>
      <c r="B93" s="12"/>
      <c r="C93" s="12"/>
      <c r="D93" s="45"/>
      <c r="E93" s="432" t="s">
        <v>85</v>
      </c>
      <c r="F93" s="433" t="n">
        <f aca="false">Horarios!C93</f>
        <v>44913.75</v>
      </c>
      <c r="G93" s="434" t="n">
        <f aca="false">Horarios!C93</f>
        <v>44913.75</v>
      </c>
      <c r="H93" s="433"/>
      <c r="I93" s="435" t="str">
        <f aca="false">IF(AND(OR(K86="",L86="")),"W61",IF(K86&gt;L86,I86,IF(K86&lt;L86,N86,IF(AND(K86=L86,J86=M86),"W61",IF(AND(K86=L86,OR(J86="",M86="")),"W61",IF(AND(K86=L86,J86&gt;M86),I86,N86))))))</f>
        <v>W61</v>
      </c>
      <c r="J93" s="436"/>
      <c r="K93" s="437"/>
      <c r="L93" s="437"/>
      <c r="M93" s="436"/>
      <c r="N93" s="438" t="str">
        <f aca="false">IF(AND(OR(K87="",L87="")),"W62",IF(K87&gt;L87,I87,IF(K87&lt;L87,N87,IF(AND(K87=L87,J87=M87),"W62",IF(AND(K87=L87,OR(J87="",M87="")),"W62",IF(AND(K87=L87,J87&gt;M87),I87,N87))))))</f>
        <v>W62</v>
      </c>
      <c r="O93" s="387" t="n">
        <f aca="false">IF(I97="WF",0,1)</f>
        <v>0</v>
      </c>
      <c r="P93" s="416" t="n">
        <v>64</v>
      </c>
      <c r="Q93" s="35"/>
      <c r="R93" s="35"/>
      <c r="S93" s="35"/>
      <c r="T93" s="35"/>
      <c r="U93" s="35"/>
      <c r="V93" s="35"/>
      <c r="W93" s="35"/>
      <c r="X93" s="35"/>
      <c r="Y93" s="35"/>
      <c r="Z93" s="35"/>
      <c r="AA93" s="35"/>
      <c r="AB93" s="35"/>
      <c r="AC93" s="35"/>
      <c r="AD93" s="35"/>
      <c r="AE93" s="35"/>
      <c r="AF93" s="24"/>
      <c r="AG93" s="11"/>
      <c r="BC93" s="11"/>
      <c r="BD93" s="11"/>
      <c r="BE93" s="11"/>
      <c r="BF93" s="11"/>
      <c r="BG93" s="11"/>
      <c r="BH93" s="11"/>
      <c r="BI93" s="431"/>
      <c r="BJ93" s="11"/>
      <c r="BK93" s="11"/>
      <c r="BL93" s="11"/>
      <c r="BM93" s="11"/>
      <c r="BN93" s="11"/>
      <c r="BO93" s="11"/>
      <c r="BP93" s="11"/>
      <c r="BQ93" s="11"/>
      <c r="BR93" s="11"/>
      <c r="BS93" s="11"/>
      <c r="BZ93" s="11"/>
      <c r="CA93" s="11"/>
      <c r="CD93" s="74"/>
      <c r="CH93" s="11"/>
      <c r="CI93" s="10"/>
    </row>
    <row r="94" customFormat="false" ht="30" hidden="false" customHeight="true" outlineLevel="0" collapsed="false">
      <c r="A94" s="12"/>
      <c r="B94" s="12"/>
      <c r="C94" s="12"/>
      <c r="D94" s="45"/>
      <c r="E94" s="99"/>
      <c r="F94" s="439"/>
      <c r="G94" s="99"/>
      <c r="H94" s="99"/>
      <c r="I94" s="99"/>
      <c r="J94" s="419"/>
      <c r="K94" s="419"/>
      <c r="L94" s="419"/>
      <c r="M94" s="419"/>
      <c r="N94" s="419"/>
      <c r="O94" s="440"/>
      <c r="P94" s="441"/>
      <c r="Q94" s="35"/>
      <c r="R94" s="35"/>
      <c r="S94" s="35"/>
      <c r="T94" s="35"/>
      <c r="U94" s="35"/>
      <c r="V94" s="35"/>
      <c r="W94" s="35"/>
      <c r="X94" s="35"/>
      <c r="Y94" s="35"/>
      <c r="Z94" s="35"/>
      <c r="AA94" s="35"/>
      <c r="AB94" s="35"/>
      <c r="AC94" s="35"/>
      <c r="AD94" s="35"/>
      <c r="AE94" s="35"/>
      <c r="AF94" s="24"/>
      <c r="AG94" s="11"/>
      <c r="BC94" s="11"/>
      <c r="BD94" s="11"/>
      <c r="BE94" s="11"/>
      <c r="BF94" s="11"/>
      <c r="BG94" s="11"/>
      <c r="BH94" s="11"/>
      <c r="BI94" s="431"/>
      <c r="BJ94" s="11"/>
      <c r="BK94" s="11"/>
      <c r="BL94" s="11"/>
      <c r="BM94" s="11"/>
      <c r="BN94" s="11"/>
      <c r="BO94" s="11"/>
      <c r="BP94" s="11"/>
      <c r="BQ94" s="11"/>
      <c r="BR94" s="11"/>
      <c r="BS94" s="11"/>
      <c r="BZ94" s="11"/>
      <c r="CA94" s="11"/>
      <c r="CD94" s="74"/>
      <c r="CH94" s="11"/>
      <c r="CI94" s="10"/>
    </row>
    <row r="95" customFormat="false" ht="30" hidden="false" customHeight="true" outlineLevel="0" collapsed="false">
      <c r="A95" s="12"/>
      <c r="B95" s="12"/>
      <c r="C95" s="12"/>
      <c r="D95" s="45"/>
      <c r="E95" s="99"/>
      <c r="F95" s="439"/>
      <c r="G95" s="99"/>
      <c r="H95" s="99"/>
      <c r="I95" s="99"/>
      <c r="J95" s="419"/>
      <c r="K95" s="419"/>
      <c r="L95" s="419"/>
      <c r="M95" s="419"/>
      <c r="N95" s="419"/>
      <c r="O95" s="440"/>
      <c r="P95" s="441"/>
      <c r="Q95" s="35"/>
      <c r="R95" s="35"/>
      <c r="S95" s="35"/>
      <c r="T95" s="35"/>
      <c r="U95" s="35"/>
      <c r="V95" s="35"/>
      <c r="W95" s="35"/>
      <c r="X95" s="35"/>
      <c r="Y95" s="35"/>
      <c r="Z95" s="35"/>
      <c r="AA95" s="35"/>
      <c r="AB95" s="35"/>
      <c r="AC95" s="35"/>
      <c r="AD95" s="35"/>
      <c r="AE95" s="35"/>
      <c r="AF95" s="24"/>
      <c r="AG95" s="11"/>
      <c r="BC95" s="11"/>
      <c r="BD95" s="11"/>
      <c r="BE95" s="11"/>
      <c r="BF95" s="11"/>
      <c r="BG95" s="11"/>
      <c r="BH95" s="11"/>
      <c r="BI95" s="431"/>
      <c r="BJ95" s="11"/>
      <c r="BK95" s="11"/>
      <c r="BL95" s="11"/>
      <c r="BM95" s="11"/>
      <c r="BN95" s="11"/>
      <c r="BO95" s="11"/>
      <c r="BP95" s="11"/>
      <c r="BQ95" s="11"/>
      <c r="BR95" s="11"/>
      <c r="BS95" s="11"/>
      <c r="BZ95" s="11"/>
      <c r="CA95" s="11"/>
      <c r="CD95" s="74"/>
      <c r="CH95" s="11"/>
      <c r="CI95" s="10"/>
    </row>
    <row r="96" customFormat="false" ht="15.75" hidden="false" customHeight="false" outlineLevel="0" collapsed="false">
      <c r="A96" s="12"/>
      <c r="B96" s="12"/>
      <c r="C96" s="12"/>
      <c r="D96" s="99"/>
      <c r="E96" s="442"/>
      <c r="F96" s="442"/>
      <c r="G96" s="442"/>
      <c r="H96" s="442"/>
      <c r="I96" s="99" t="s">
        <v>97</v>
      </c>
      <c r="J96" s="442"/>
      <c r="K96" s="442"/>
      <c r="L96" s="442"/>
      <c r="M96" s="442"/>
      <c r="N96" s="442"/>
      <c r="O96" s="443"/>
      <c r="P96" s="19"/>
      <c r="Q96" s="19"/>
      <c r="R96" s="19"/>
      <c r="S96" s="19"/>
      <c r="T96" s="19"/>
      <c r="U96" s="19"/>
      <c r="V96" s="19"/>
      <c r="W96" s="19"/>
      <c r="X96" s="19"/>
      <c r="Y96" s="19"/>
      <c r="Z96" s="19"/>
      <c r="AA96" s="19"/>
      <c r="AB96" s="19"/>
      <c r="AC96" s="19"/>
      <c r="AD96" s="19"/>
      <c r="AE96" s="19"/>
      <c r="BI96" s="431"/>
      <c r="CC96" s="61"/>
      <c r="CD96" s="61"/>
      <c r="CE96" s="61"/>
      <c r="CF96" s="61"/>
      <c r="CG96" s="61"/>
      <c r="CH96" s="11"/>
      <c r="CJ96" s="10"/>
    </row>
    <row r="97" customFormat="false" ht="18.75" hidden="false" customHeight="false" outlineLevel="0" collapsed="false">
      <c r="A97" s="12"/>
      <c r="B97" s="12"/>
      <c r="C97" s="12"/>
      <c r="D97" s="19"/>
      <c r="E97" s="444" t="s">
        <v>98</v>
      </c>
      <c r="F97" s="445"/>
      <c r="G97" s="445"/>
      <c r="H97" s="446"/>
      <c r="I97" s="447" t="str">
        <f aca="false">IF(AND(OR(K93="",L93="")),"WF",IF(K93&gt;L93,I93,IF(K93&lt;L93,N93,IF(AND(K93=L93,J93=M93),"WF",IF(AND(K93=L93,OR(J93="",M93="")),"WF",IF(AND(K93=L93,J93&gt;M93),I93,N93))))))</f>
        <v>WF</v>
      </c>
      <c r="J97" s="447"/>
      <c r="K97" s="447"/>
      <c r="L97" s="447"/>
      <c r="M97" s="447"/>
      <c r="N97" s="447"/>
      <c r="O97" s="387" t="n">
        <f aca="false">IF(I97="WF",0,1)</f>
        <v>0</v>
      </c>
      <c r="P97" s="19"/>
      <c r="Q97" s="448" t="str">
        <f aca="false">IF(SUM(COUNTIF(O4:O65,0),COUNTIF(O69:O109,0)&gt;0),"PORRA INCOMPLETA:","PORRA COMPLETA:")</f>
        <v>PORRA INCOMPLETA:</v>
      </c>
      <c r="R97" s="448"/>
      <c r="S97" s="448"/>
      <c r="T97" s="448"/>
      <c r="U97" s="448"/>
      <c r="V97" s="448"/>
      <c r="W97" s="448"/>
      <c r="X97" s="448"/>
      <c r="Y97" s="448"/>
      <c r="Z97" s="448"/>
      <c r="AA97" s="448"/>
      <c r="AB97" s="19"/>
      <c r="AC97" s="19"/>
      <c r="AD97" s="19"/>
      <c r="AE97" s="19"/>
      <c r="BI97" s="431"/>
      <c r="CD97" s="74"/>
      <c r="CH97" s="372"/>
      <c r="CI97" s="372"/>
    </row>
    <row r="98" s="11" customFormat="true" ht="15.75" hidden="false" customHeight="false" outlineLevel="0" collapsed="false">
      <c r="A98" s="12"/>
      <c r="B98" s="12"/>
      <c r="C98" s="12"/>
      <c r="D98" s="19"/>
      <c r="E98" s="449" t="s">
        <v>99</v>
      </c>
      <c r="F98" s="450"/>
      <c r="G98" s="450"/>
      <c r="H98" s="451"/>
      <c r="I98" s="452" t="str">
        <f aca="false">IF(AND(OR(K93="",L93="")),"LF",IF(K93&gt;L93,N93,IF(K93&lt;L93,I93,IF(AND(K93=L93,J93=M93),"LF",IF(AND(K93=L93,OR(J93="",M93="")),"LF",IF(AND(K93=L93,J93&gt;M93),N93,I93))))))</f>
        <v>LF</v>
      </c>
      <c r="J98" s="452"/>
      <c r="K98" s="452"/>
      <c r="L98" s="452"/>
      <c r="M98" s="452"/>
      <c r="N98" s="452"/>
      <c r="O98" s="387" t="n">
        <f aca="false">IF(I98="LF",0,1)</f>
        <v>0</v>
      </c>
      <c r="P98" s="19"/>
      <c r="Q98" s="448"/>
      <c r="R98" s="448"/>
      <c r="S98" s="448"/>
      <c r="T98" s="448"/>
      <c r="U98" s="448"/>
      <c r="V98" s="448"/>
      <c r="W98" s="448"/>
      <c r="X98" s="448"/>
      <c r="Y98" s="448"/>
      <c r="Z98" s="448"/>
      <c r="AA98" s="448"/>
      <c r="AB98" s="19"/>
      <c r="AC98" s="19"/>
      <c r="AD98" s="19"/>
      <c r="AE98" s="19"/>
      <c r="AF98" s="10"/>
      <c r="AG98" s="10"/>
      <c r="BC98" s="10"/>
      <c r="BD98" s="10"/>
      <c r="BE98" s="10"/>
      <c r="BF98" s="10"/>
      <c r="BG98" s="10"/>
      <c r="BH98" s="10"/>
      <c r="BI98" s="431"/>
      <c r="BJ98" s="10"/>
      <c r="BK98" s="10"/>
      <c r="BL98" s="10"/>
      <c r="BM98" s="10"/>
      <c r="BN98" s="10"/>
      <c r="BO98" s="10"/>
      <c r="BP98" s="10"/>
      <c r="BQ98" s="10"/>
      <c r="BR98" s="10"/>
      <c r="BS98" s="10"/>
      <c r="BZ98" s="10"/>
      <c r="CA98" s="10"/>
      <c r="CC98" s="10"/>
      <c r="CD98" s="74"/>
      <c r="CE98" s="10"/>
      <c r="CF98" s="10"/>
      <c r="CG98" s="10"/>
      <c r="CH98" s="372"/>
    </row>
    <row r="99" s="11" customFormat="true" ht="16.5" hidden="false" customHeight="false" outlineLevel="0" collapsed="false">
      <c r="A99" s="12"/>
      <c r="B99" s="12"/>
      <c r="C99" s="12"/>
      <c r="D99" s="19"/>
      <c r="E99" s="453" t="s">
        <v>100</v>
      </c>
      <c r="F99" s="454"/>
      <c r="G99" s="454"/>
      <c r="H99" s="455"/>
      <c r="I99" s="456" t="str">
        <f aca="false">IF(AND(OR(K90="",L90="")),"W34",IF(K90&gt;L90,I90,IF(K90&lt;L90,N90,IF(AND(K90=L90,J90=M90),"W34",IF(AND(K90=L90,OR(J90="",M90="")),"W34",IF(AND(K90=L90,J90&gt;M90),I90,N90))))))</f>
        <v>W34</v>
      </c>
      <c r="J99" s="456"/>
      <c r="K99" s="456"/>
      <c r="L99" s="456"/>
      <c r="M99" s="456"/>
      <c r="N99" s="456"/>
      <c r="O99" s="387" t="n">
        <f aca="false">IF(I99="W34",0,1)</f>
        <v>0</v>
      </c>
      <c r="P99" s="19"/>
      <c r="Q99" s="448"/>
      <c r="R99" s="448"/>
      <c r="S99" s="448"/>
      <c r="T99" s="448"/>
      <c r="U99" s="448"/>
      <c r="V99" s="448"/>
      <c r="W99" s="448"/>
      <c r="X99" s="448"/>
      <c r="Y99" s="448"/>
      <c r="Z99" s="448"/>
      <c r="AA99" s="448"/>
      <c r="AB99" s="19"/>
      <c r="AC99" s="19"/>
      <c r="AD99" s="19"/>
      <c r="AE99" s="19"/>
      <c r="BC99" s="10"/>
      <c r="BD99" s="10"/>
      <c r="BE99" s="10"/>
      <c r="BF99" s="10"/>
      <c r="BG99" s="10"/>
      <c r="BH99" s="10"/>
      <c r="BI99" s="431"/>
      <c r="BJ99" s="10"/>
      <c r="BK99" s="10"/>
      <c r="BL99" s="10"/>
      <c r="BM99" s="10"/>
      <c r="BN99" s="10"/>
      <c r="BO99" s="10"/>
      <c r="BP99" s="10"/>
      <c r="BQ99" s="10"/>
      <c r="BR99" s="10"/>
      <c r="BS99" s="10"/>
      <c r="BZ99" s="10"/>
      <c r="CA99" s="10"/>
      <c r="CC99" s="10"/>
      <c r="CD99" s="74"/>
      <c r="CE99" s="10"/>
      <c r="CF99" s="10"/>
      <c r="CG99" s="10"/>
    </row>
    <row r="100" s="11" customFormat="true" ht="15.75" hidden="false" customHeight="false" outlineLevel="0" collapsed="false">
      <c r="A100" s="12"/>
      <c r="B100" s="12"/>
      <c r="C100" s="12"/>
      <c r="D100" s="19"/>
      <c r="E100" s="457"/>
      <c r="F100" s="457"/>
      <c r="G100" s="457"/>
      <c r="H100" s="457"/>
      <c r="I100" s="458"/>
      <c r="J100" s="459"/>
      <c r="K100" s="459"/>
      <c r="L100" s="459"/>
      <c r="M100" s="459"/>
      <c r="N100" s="459"/>
      <c r="O100" s="141"/>
      <c r="P100" s="19"/>
      <c r="Q100" s="460" t="str">
        <f aca="false">IF(SUM(COUNTIF(O4:O65,0),COUNTIF(O69:O109,0)&gt;0),"Aún falta algún pronóstico","Guarda el archivo y reenvíanoslo por email")</f>
        <v>Aún falta algún pronóstico</v>
      </c>
      <c r="R100" s="460"/>
      <c r="S100" s="460"/>
      <c r="T100" s="460"/>
      <c r="U100" s="460"/>
      <c r="V100" s="460"/>
      <c r="W100" s="460"/>
      <c r="X100" s="460"/>
      <c r="Y100" s="460"/>
      <c r="Z100" s="460"/>
      <c r="AA100" s="460"/>
      <c r="AB100" s="19"/>
      <c r="AC100" s="19"/>
      <c r="AD100" s="19"/>
      <c r="AE100" s="19"/>
      <c r="BC100" s="10"/>
      <c r="BD100" s="10"/>
      <c r="BE100" s="10"/>
      <c r="BF100" s="10"/>
      <c r="BG100" s="10"/>
      <c r="BH100" s="10"/>
      <c r="BI100" s="10"/>
      <c r="BJ100" s="10"/>
      <c r="BK100" s="10"/>
      <c r="BL100" s="10"/>
      <c r="BM100" s="10"/>
      <c r="BN100" s="10"/>
      <c r="BO100" s="10"/>
      <c r="BP100" s="10"/>
      <c r="BQ100" s="10"/>
      <c r="BR100" s="10"/>
      <c r="BS100" s="10"/>
      <c r="BZ100" s="10"/>
      <c r="CA100" s="10"/>
      <c r="CC100" s="10"/>
      <c r="CD100" s="74"/>
      <c r="CE100" s="10"/>
      <c r="CF100" s="10"/>
      <c r="CG100" s="10"/>
    </row>
    <row r="101" s="11" customFormat="true" ht="18.75" hidden="false" customHeight="false" outlineLevel="0" collapsed="false">
      <c r="A101" s="12"/>
      <c r="B101" s="12"/>
      <c r="C101" s="12"/>
      <c r="D101" s="19"/>
      <c r="E101" s="444" t="s">
        <v>101</v>
      </c>
      <c r="F101" s="445"/>
      <c r="G101" s="461"/>
      <c r="H101" s="446"/>
      <c r="I101" s="462" t="s">
        <v>102</v>
      </c>
      <c r="J101" s="462"/>
      <c r="K101" s="462"/>
      <c r="L101" s="462"/>
      <c r="M101" s="462"/>
      <c r="N101" s="462"/>
      <c r="O101" s="387" t="n">
        <f aca="false">IF(I101="Escribe un Jugador",0,IF(I101="",0,1))</f>
        <v>0</v>
      </c>
      <c r="P101" s="19"/>
      <c r="Q101" s="460"/>
      <c r="R101" s="460"/>
      <c r="S101" s="460"/>
      <c r="T101" s="460"/>
      <c r="U101" s="460"/>
      <c r="V101" s="460"/>
      <c r="W101" s="460"/>
      <c r="X101" s="460"/>
      <c r="Y101" s="460"/>
      <c r="Z101" s="460"/>
      <c r="AA101" s="460"/>
      <c r="AB101" s="19"/>
      <c r="AC101" s="19"/>
      <c r="AD101" s="19"/>
      <c r="AE101" s="19"/>
      <c r="BC101" s="10"/>
      <c r="BD101" s="10"/>
      <c r="BE101" s="10"/>
      <c r="BF101" s="10"/>
      <c r="BG101" s="10"/>
      <c r="BH101" s="10"/>
      <c r="BI101" s="10"/>
      <c r="BJ101" s="10"/>
      <c r="BK101" s="10"/>
      <c r="BL101" s="10"/>
      <c r="BM101" s="10"/>
      <c r="BN101" s="10"/>
      <c r="BO101" s="10"/>
      <c r="BP101" s="10"/>
      <c r="BQ101" s="10"/>
      <c r="BR101" s="10"/>
      <c r="BS101" s="10"/>
      <c r="BZ101" s="10"/>
      <c r="CA101" s="10"/>
      <c r="CC101" s="10"/>
      <c r="CD101" s="74"/>
      <c r="CE101" s="10"/>
      <c r="CF101" s="10"/>
      <c r="CG101" s="10"/>
    </row>
    <row r="102" s="11" customFormat="true" ht="16.5" hidden="false" customHeight="false" outlineLevel="0" collapsed="false">
      <c r="A102" s="12"/>
      <c r="B102" s="12"/>
      <c r="C102" s="12"/>
      <c r="D102" s="19"/>
      <c r="E102" s="449" t="s">
        <v>103</v>
      </c>
      <c r="F102" s="450"/>
      <c r="G102" s="450"/>
      <c r="H102" s="451"/>
      <c r="I102" s="463" t="s">
        <v>102</v>
      </c>
      <c r="J102" s="463"/>
      <c r="K102" s="463"/>
      <c r="L102" s="463"/>
      <c r="M102" s="463"/>
      <c r="N102" s="463"/>
      <c r="O102" s="387" t="n">
        <f aca="false">IF(I102="Escribe un Jugador",0,IF(I102="",0,1))</f>
        <v>0</v>
      </c>
      <c r="P102" s="19"/>
      <c r="Q102" s="460"/>
      <c r="R102" s="460"/>
      <c r="S102" s="460"/>
      <c r="T102" s="460"/>
      <c r="U102" s="460"/>
      <c r="V102" s="460"/>
      <c r="W102" s="460"/>
      <c r="X102" s="460"/>
      <c r="Y102" s="460"/>
      <c r="Z102" s="460"/>
      <c r="AA102" s="460"/>
      <c r="AB102" s="19"/>
      <c r="AC102" s="19"/>
      <c r="AD102" s="19"/>
      <c r="AE102" s="19"/>
      <c r="BC102" s="10"/>
      <c r="BD102" s="10"/>
      <c r="BE102" s="10"/>
      <c r="BF102" s="10"/>
      <c r="BG102" s="10"/>
      <c r="BH102" s="10"/>
      <c r="BI102" s="10"/>
      <c r="BJ102" s="10"/>
      <c r="BK102" s="10"/>
      <c r="BL102" s="10"/>
      <c r="BM102" s="10"/>
      <c r="BN102" s="10"/>
      <c r="BO102" s="10"/>
      <c r="BP102" s="10"/>
      <c r="BQ102" s="10"/>
      <c r="BR102" s="10"/>
      <c r="BS102" s="10"/>
      <c r="BZ102" s="10"/>
      <c r="CA102" s="10"/>
      <c r="CC102" s="10"/>
      <c r="CD102" s="74"/>
      <c r="CE102" s="10"/>
      <c r="CF102" s="10"/>
      <c r="CG102" s="10"/>
    </row>
    <row r="103" s="11" customFormat="true" ht="16.5" hidden="false" customHeight="false" outlineLevel="0" collapsed="false">
      <c r="A103" s="12"/>
      <c r="B103" s="12"/>
      <c r="C103" s="12"/>
      <c r="D103" s="19"/>
      <c r="E103" s="453" t="s">
        <v>104</v>
      </c>
      <c r="F103" s="454"/>
      <c r="G103" s="454"/>
      <c r="H103" s="455"/>
      <c r="I103" s="464" t="s">
        <v>102</v>
      </c>
      <c r="J103" s="464"/>
      <c r="K103" s="464"/>
      <c r="L103" s="464"/>
      <c r="M103" s="464"/>
      <c r="N103" s="464"/>
      <c r="O103" s="387" t="n">
        <f aca="false">IF(I103="Escribe un Jugador",0,IF(I103="",0,1))</f>
        <v>0</v>
      </c>
      <c r="P103" s="19"/>
      <c r="Q103" s="19"/>
      <c r="R103" s="19"/>
      <c r="S103" s="19"/>
      <c r="T103" s="19"/>
      <c r="U103" s="19"/>
      <c r="V103" s="19"/>
      <c r="W103" s="19"/>
      <c r="X103" s="19"/>
      <c r="Y103" s="19"/>
      <c r="Z103" s="19"/>
      <c r="AA103" s="19"/>
      <c r="AB103" s="19"/>
      <c r="AC103" s="19"/>
      <c r="AD103" s="19"/>
      <c r="AE103" s="19"/>
      <c r="BC103" s="10"/>
      <c r="BD103" s="10"/>
      <c r="BE103" s="10"/>
      <c r="BF103" s="10"/>
      <c r="BG103" s="10"/>
      <c r="BH103" s="10"/>
      <c r="BI103" s="10"/>
      <c r="BJ103" s="10"/>
      <c r="BK103" s="10"/>
      <c r="BL103" s="10"/>
      <c r="BM103" s="10"/>
      <c r="BN103" s="10"/>
      <c r="BO103" s="10"/>
      <c r="BP103" s="10"/>
      <c r="BQ103" s="10"/>
      <c r="BR103" s="10"/>
      <c r="BS103" s="10"/>
      <c r="BZ103" s="10"/>
      <c r="CA103" s="10"/>
      <c r="CC103" s="61"/>
      <c r="CD103" s="61"/>
      <c r="CE103" s="61"/>
      <c r="CF103" s="61"/>
      <c r="CG103" s="61"/>
      <c r="CH103" s="10"/>
    </row>
    <row r="104" s="11" customFormat="true" ht="16.5" hidden="false" customHeight="false" outlineLevel="0" collapsed="false">
      <c r="A104" s="12"/>
      <c r="B104" s="12"/>
      <c r="C104" s="12"/>
      <c r="D104" s="19"/>
      <c r="E104" s="465"/>
      <c r="F104" s="465"/>
      <c r="G104" s="465"/>
      <c r="H104" s="465"/>
      <c r="I104" s="466"/>
      <c r="J104" s="466"/>
      <c r="K104" s="466"/>
      <c r="L104" s="466"/>
      <c r="M104" s="466"/>
      <c r="N104" s="466"/>
      <c r="O104" s="141"/>
      <c r="P104" s="19"/>
      <c r="Q104" s="19"/>
      <c r="R104" s="19"/>
      <c r="S104" s="19"/>
      <c r="T104" s="19"/>
      <c r="U104" s="19"/>
      <c r="V104" s="19"/>
      <c r="W104" s="19"/>
      <c r="X104" s="19"/>
      <c r="Y104" s="19"/>
      <c r="Z104" s="19"/>
      <c r="AA104" s="19"/>
      <c r="AB104" s="19"/>
      <c r="AC104" s="19"/>
      <c r="AD104" s="19"/>
      <c r="AE104" s="19"/>
      <c r="BC104" s="10"/>
      <c r="BD104" s="10"/>
      <c r="BE104" s="10"/>
      <c r="BF104" s="10"/>
      <c r="BG104" s="10"/>
      <c r="BH104" s="10"/>
      <c r="BI104" s="10"/>
      <c r="BJ104" s="10"/>
      <c r="BK104" s="10"/>
      <c r="BL104" s="10"/>
      <c r="BM104" s="10"/>
      <c r="BN104" s="10"/>
      <c r="BO104" s="10"/>
      <c r="BP104" s="10"/>
      <c r="BQ104" s="10"/>
      <c r="BR104" s="10"/>
      <c r="BS104" s="10"/>
      <c r="BZ104" s="10"/>
      <c r="CA104" s="10"/>
      <c r="CC104" s="10"/>
      <c r="CD104" s="74"/>
      <c r="CE104" s="10"/>
      <c r="CF104" s="10"/>
      <c r="CG104" s="10"/>
      <c r="CH104" s="10"/>
    </row>
    <row r="105" customFormat="false" ht="18.75" hidden="false" customHeight="false" outlineLevel="0" collapsed="false">
      <c r="A105" s="12"/>
      <c r="B105" s="12"/>
      <c r="C105" s="12"/>
      <c r="D105" s="19"/>
      <c r="E105" s="444" t="s">
        <v>105</v>
      </c>
      <c r="F105" s="445"/>
      <c r="G105" s="461"/>
      <c r="H105" s="446"/>
      <c r="I105" s="462" t="s">
        <v>102</v>
      </c>
      <c r="J105" s="462"/>
      <c r="K105" s="462"/>
      <c r="L105" s="462"/>
      <c r="M105" s="462"/>
      <c r="N105" s="462"/>
      <c r="O105" s="387" t="n">
        <f aca="false">IF(I105="Escribe un Jugador",0,IF(I105="",0,1))</f>
        <v>0</v>
      </c>
      <c r="P105" s="19"/>
      <c r="Q105" s="19"/>
      <c r="R105" s="19"/>
      <c r="S105" s="19"/>
      <c r="T105" s="19"/>
      <c r="U105" s="19"/>
      <c r="V105" s="19"/>
      <c r="W105" s="19"/>
      <c r="X105" s="19"/>
      <c r="Y105" s="19"/>
      <c r="Z105" s="19"/>
      <c r="AA105" s="19"/>
      <c r="AB105" s="19"/>
      <c r="AC105" s="19"/>
      <c r="AD105" s="19"/>
      <c r="AE105" s="19"/>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CB105" s="11"/>
      <c r="CD105" s="74"/>
    </row>
    <row r="106" customFormat="false" ht="15.75" hidden="false" customHeight="false" outlineLevel="0" collapsed="false">
      <c r="A106" s="12"/>
      <c r="B106" s="12"/>
      <c r="C106" s="12"/>
      <c r="D106" s="19"/>
      <c r="E106" s="449" t="s">
        <v>106</v>
      </c>
      <c r="F106" s="450"/>
      <c r="G106" s="450"/>
      <c r="H106" s="451"/>
      <c r="I106" s="463" t="s">
        <v>102</v>
      </c>
      <c r="J106" s="463"/>
      <c r="K106" s="463"/>
      <c r="L106" s="463"/>
      <c r="M106" s="463"/>
      <c r="N106" s="463"/>
      <c r="O106" s="387" t="n">
        <f aca="false">IF(I106="Escribe un Jugador",0,IF(I106="",0,1))</f>
        <v>0</v>
      </c>
      <c r="P106" s="19"/>
      <c r="Q106" s="19"/>
      <c r="R106" s="19"/>
      <c r="S106" s="19"/>
      <c r="T106" s="19"/>
      <c r="U106" s="19"/>
      <c r="V106" s="19"/>
      <c r="W106" s="19"/>
      <c r="X106" s="19"/>
      <c r="Y106" s="19"/>
      <c r="Z106" s="19"/>
      <c r="AA106" s="19"/>
      <c r="AB106" s="19"/>
      <c r="AC106" s="19"/>
      <c r="AD106" s="19"/>
      <c r="AE106" s="19"/>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CB106" s="11"/>
      <c r="CD106" s="74"/>
    </row>
    <row r="107" customFormat="false" ht="16.5" hidden="false" customHeight="false" outlineLevel="0" collapsed="false">
      <c r="A107" s="12"/>
      <c r="B107" s="12"/>
      <c r="C107" s="12"/>
      <c r="D107" s="19"/>
      <c r="E107" s="453" t="s">
        <v>107</v>
      </c>
      <c r="F107" s="454"/>
      <c r="G107" s="454"/>
      <c r="H107" s="455"/>
      <c r="I107" s="464" t="s">
        <v>102</v>
      </c>
      <c r="J107" s="464"/>
      <c r="K107" s="464"/>
      <c r="L107" s="464"/>
      <c r="M107" s="464"/>
      <c r="N107" s="464"/>
      <c r="O107" s="387" t="n">
        <f aca="false">IF(I107="Escribe un Jugador",0,IF(I107="",0,1))</f>
        <v>0</v>
      </c>
      <c r="P107" s="19"/>
      <c r="Q107" s="19"/>
      <c r="R107" s="19"/>
      <c r="S107" s="19"/>
      <c r="T107" s="19"/>
      <c r="U107" s="19"/>
      <c r="V107" s="19"/>
      <c r="W107" s="19"/>
      <c r="X107" s="19"/>
      <c r="Y107" s="19"/>
      <c r="Z107" s="19"/>
      <c r="AA107" s="19"/>
      <c r="AB107" s="19"/>
      <c r="AC107" s="19"/>
      <c r="AD107" s="19"/>
      <c r="AE107" s="19"/>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CB107" s="11"/>
      <c r="CD107" s="74"/>
    </row>
    <row r="108" customFormat="false" ht="15.75" hidden="false" customHeight="false" outlineLevel="0" collapsed="false">
      <c r="A108" s="12"/>
      <c r="B108" s="12"/>
      <c r="C108" s="12"/>
      <c r="D108" s="19"/>
      <c r="E108" s="457"/>
      <c r="F108" s="457"/>
      <c r="G108" s="457"/>
      <c r="H108" s="457"/>
      <c r="I108" s="457"/>
      <c r="J108" s="457"/>
      <c r="K108" s="457"/>
      <c r="L108" s="457"/>
      <c r="M108" s="457"/>
      <c r="N108" s="457"/>
      <c r="O108" s="467"/>
      <c r="P108" s="19"/>
      <c r="Q108" s="19"/>
      <c r="R108" s="19"/>
      <c r="S108" s="19"/>
      <c r="T108" s="19"/>
      <c r="U108" s="19"/>
      <c r="V108" s="19"/>
      <c r="W108" s="19"/>
      <c r="X108" s="19"/>
      <c r="Y108" s="19"/>
      <c r="Z108" s="19"/>
      <c r="AA108" s="19"/>
      <c r="AB108" s="19"/>
      <c r="AC108" s="19"/>
      <c r="AD108" s="19"/>
      <c r="AE108" s="19"/>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CB108" s="11"/>
      <c r="CD108" s="74"/>
    </row>
    <row r="109" customFormat="false" ht="18" hidden="false" customHeight="false" outlineLevel="0" collapsed="false">
      <c r="A109" s="12"/>
      <c r="B109" s="12"/>
      <c r="C109" s="12"/>
      <c r="D109" s="19"/>
      <c r="E109" s="468" t="s">
        <v>108</v>
      </c>
      <c r="F109" s="469"/>
      <c r="G109" s="469"/>
      <c r="H109" s="470"/>
      <c r="I109" s="471" t="s">
        <v>109</v>
      </c>
      <c r="J109" s="471"/>
      <c r="K109" s="471"/>
      <c r="L109" s="471"/>
      <c r="M109" s="471"/>
      <c r="N109" s="471"/>
      <c r="O109" s="387" t="n">
        <f aca="false">IF(I109="Escribe tu nombre",0,IF(I109="",0,1))</f>
        <v>1</v>
      </c>
      <c r="P109" s="19"/>
      <c r="Q109" s="19"/>
      <c r="R109" s="19"/>
      <c r="S109" s="19"/>
      <c r="T109" s="19"/>
      <c r="U109" s="19"/>
      <c r="V109" s="19"/>
      <c r="W109" s="19"/>
      <c r="X109" s="19"/>
      <c r="Y109" s="19"/>
      <c r="Z109" s="19"/>
      <c r="AA109" s="19"/>
      <c r="AB109" s="19"/>
      <c r="AC109" s="19"/>
      <c r="AD109" s="19"/>
      <c r="AE109" s="19"/>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CB109" s="11"/>
      <c r="CD109" s="74"/>
    </row>
    <row r="110" s="11" customFormat="true" ht="15" hidden="false" customHeight="false" outlineLevel="0" collapsed="false">
      <c r="A110" s="12"/>
      <c r="B110" s="12"/>
      <c r="C110" s="12"/>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row>
    <row r="111" s="11" customFormat="true" ht="15" hidden="false" customHeight="false" outlineLevel="0" collapsed="false">
      <c r="A111" s="12"/>
      <c r="B111" s="12"/>
      <c r="C111" s="33"/>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row>
    <row r="112" s="11" customFormat="true" ht="15" hidden="false" customHeight="false" outlineLevel="0" collapsed="false">
      <c r="A112" s="12"/>
      <c r="B112" s="12"/>
      <c r="C112" s="12"/>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row>
    <row r="113" customFormat="false" ht="15" hidden="false" customHeight="false" outlineLevel="0" collapsed="false">
      <c r="A113" s="12"/>
      <c r="B113" s="12"/>
      <c r="C113" s="12"/>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CB113" s="11"/>
      <c r="CC113" s="61"/>
      <c r="CD113" s="61"/>
      <c r="CE113" s="61"/>
      <c r="CF113" s="61"/>
      <c r="CG113" s="61"/>
    </row>
    <row r="114" s="11" customFormat="true" ht="15" hidden="false" customHeight="false" outlineLevel="0" collapsed="false">
      <c r="A114" s="472"/>
      <c r="B114" s="472"/>
      <c r="C114" s="473"/>
      <c r="D114" s="474"/>
      <c r="E114" s="474"/>
      <c r="F114" s="474"/>
      <c r="G114" s="474"/>
      <c r="H114" s="474"/>
      <c r="I114" s="474"/>
      <c r="J114" s="474"/>
      <c r="K114" s="474"/>
      <c r="L114" s="474"/>
      <c r="M114" s="474"/>
      <c r="N114" s="474"/>
      <c r="O114" s="474"/>
      <c r="P114" s="474"/>
      <c r="Q114" s="474"/>
      <c r="R114" s="474"/>
      <c r="S114" s="474"/>
      <c r="T114" s="474"/>
      <c r="U114" s="474"/>
      <c r="V114" s="474"/>
      <c r="W114" s="474"/>
      <c r="X114" s="474"/>
      <c r="Y114" s="474"/>
      <c r="Z114" s="474"/>
      <c r="AA114" s="475"/>
      <c r="AB114" s="476"/>
      <c r="AC114" s="475"/>
      <c r="AD114" s="475"/>
      <c r="AE114" s="475"/>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row>
    <row r="115" s="11" customFormat="true" ht="15" hidden="false" customHeight="false" outlineLevel="0" collapsed="false">
      <c r="A115" s="472"/>
      <c r="B115" s="472"/>
      <c r="C115" s="473"/>
      <c r="D115" s="474"/>
      <c r="E115" s="474"/>
      <c r="F115" s="474"/>
      <c r="G115" s="474"/>
      <c r="H115" s="474"/>
      <c r="I115" s="474"/>
      <c r="J115" s="474"/>
      <c r="K115" s="474"/>
      <c r="L115" s="474"/>
      <c r="M115" s="474"/>
      <c r="N115" s="474"/>
      <c r="O115" s="474"/>
      <c r="P115" s="474"/>
      <c r="Q115" s="474"/>
      <c r="R115" s="474"/>
      <c r="S115" s="474"/>
      <c r="T115" s="474"/>
      <c r="U115" s="474"/>
      <c r="V115" s="474"/>
      <c r="W115" s="474"/>
      <c r="X115" s="474"/>
      <c r="Y115" s="474"/>
      <c r="Z115" s="474"/>
      <c r="AA115" s="475"/>
      <c r="AB115" s="476"/>
      <c r="AC115" s="475"/>
      <c r="AD115" s="475"/>
      <c r="AE115" s="475"/>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row>
    <row r="116" s="11" customFormat="true" ht="15" hidden="false" customHeight="false" outlineLevel="0" collapsed="false">
      <c r="A116" s="472"/>
      <c r="B116" s="472"/>
      <c r="C116" s="473"/>
      <c r="D116" s="474"/>
      <c r="E116" s="474"/>
      <c r="F116" s="474"/>
      <c r="G116" s="474"/>
      <c r="H116" s="474"/>
      <c r="I116" s="474"/>
      <c r="J116" s="474"/>
      <c r="K116" s="474"/>
      <c r="L116" s="474"/>
      <c r="M116" s="474"/>
      <c r="N116" s="474"/>
      <c r="O116" s="474"/>
      <c r="P116" s="474"/>
      <c r="Q116" s="474"/>
      <c r="R116" s="474"/>
      <c r="S116" s="474"/>
      <c r="T116" s="474"/>
      <c r="U116" s="474"/>
      <c r="V116" s="474"/>
      <c r="W116" s="474"/>
      <c r="X116" s="474"/>
      <c r="Y116" s="474"/>
      <c r="Z116" s="474"/>
      <c r="AA116" s="475"/>
      <c r="AB116" s="476"/>
      <c r="AC116" s="475"/>
      <c r="AD116" s="475"/>
      <c r="AE116" s="475"/>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row>
    <row r="117" s="11" customFormat="true" ht="15" hidden="false" customHeight="false" outlineLevel="0" collapsed="false">
      <c r="A117" s="472"/>
      <c r="B117" s="472"/>
      <c r="C117" s="473"/>
      <c r="D117" s="474"/>
      <c r="E117" s="474"/>
      <c r="F117" s="474"/>
      <c r="G117" s="474"/>
      <c r="H117" s="474"/>
      <c r="I117" s="474"/>
      <c r="J117" s="474"/>
      <c r="K117" s="474"/>
      <c r="L117" s="474"/>
      <c r="M117" s="474"/>
      <c r="N117" s="474"/>
      <c r="O117" s="474"/>
      <c r="P117" s="474"/>
      <c r="Q117" s="474"/>
      <c r="R117" s="474"/>
      <c r="S117" s="474"/>
      <c r="T117" s="474"/>
      <c r="U117" s="474"/>
      <c r="V117" s="474"/>
      <c r="W117" s="474"/>
      <c r="X117" s="474"/>
      <c r="Y117" s="474"/>
      <c r="Z117" s="474"/>
      <c r="AA117" s="475"/>
      <c r="AB117" s="476"/>
      <c r="AC117" s="475"/>
      <c r="AD117" s="475"/>
      <c r="AE117" s="475"/>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row>
    <row r="118" s="11" customFormat="true" ht="15" hidden="false" customHeight="false" outlineLevel="0" collapsed="false">
      <c r="A118" s="472"/>
      <c r="B118" s="472"/>
      <c r="C118" s="473"/>
      <c r="D118" s="474"/>
      <c r="E118" s="474"/>
      <c r="F118" s="474"/>
      <c r="G118" s="474"/>
      <c r="H118" s="474"/>
      <c r="I118" s="474"/>
      <c r="J118" s="474"/>
      <c r="K118" s="474"/>
      <c r="L118" s="474"/>
      <c r="M118" s="474"/>
      <c r="N118" s="474"/>
      <c r="O118" s="474"/>
      <c r="P118" s="474"/>
      <c r="Q118" s="474"/>
      <c r="R118" s="474"/>
      <c r="S118" s="474"/>
      <c r="T118" s="474"/>
      <c r="U118" s="474"/>
      <c r="V118" s="474"/>
      <c r="W118" s="474"/>
      <c r="X118" s="474"/>
      <c r="Y118" s="474"/>
      <c r="Z118" s="474"/>
      <c r="AA118" s="475"/>
      <c r="AB118" s="476"/>
      <c r="AC118" s="475"/>
      <c r="AD118" s="475"/>
      <c r="AE118" s="475"/>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row>
    <row r="119" s="11" customFormat="true" ht="15" hidden="false" customHeight="false" outlineLevel="0" collapsed="false">
      <c r="A119" s="472"/>
      <c r="B119" s="472"/>
      <c r="C119" s="473"/>
      <c r="D119" s="474"/>
      <c r="E119" s="474"/>
      <c r="F119" s="474"/>
      <c r="G119" s="474"/>
      <c r="H119" s="474"/>
      <c r="I119" s="474"/>
      <c r="J119" s="474"/>
      <c r="K119" s="474"/>
      <c r="L119" s="474"/>
      <c r="M119" s="474"/>
      <c r="N119" s="474"/>
      <c r="O119" s="474"/>
      <c r="P119" s="474"/>
      <c r="Q119" s="474"/>
      <c r="R119" s="474"/>
      <c r="S119" s="474"/>
      <c r="T119" s="474"/>
      <c r="U119" s="474"/>
      <c r="V119" s="474"/>
      <c r="W119" s="474"/>
      <c r="X119" s="474"/>
      <c r="Y119" s="474"/>
      <c r="Z119" s="474"/>
      <c r="AA119" s="475"/>
      <c r="AB119" s="476"/>
      <c r="AC119" s="475"/>
      <c r="AD119" s="475"/>
      <c r="AE119" s="475"/>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row>
    <row r="120" s="11" customFormat="true" ht="15" hidden="false" customHeight="false" outlineLevel="0" collapsed="false">
      <c r="A120" s="472"/>
      <c r="B120" s="472"/>
      <c r="C120" s="473"/>
      <c r="D120" s="474"/>
      <c r="E120" s="474"/>
      <c r="F120" s="474"/>
      <c r="G120" s="474"/>
      <c r="H120" s="474"/>
      <c r="I120" s="474"/>
      <c r="J120" s="474"/>
      <c r="K120" s="474"/>
      <c r="L120" s="474"/>
      <c r="M120" s="474"/>
      <c r="N120" s="474"/>
      <c r="O120" s="474"/>
      <c r="P120" s="474"/>
      <c r="Q120" s="474"/>
      <c r="R120" s="474"/>
      <c r="S120" s="474"/>
      <c r="T120" s="474"/>
      <c r="U120" s="474"/>
      <c r="V120" s="474"/>
      <c r="W120" s="474"/>
      <c r="X120" s="474"/>
      <c r="Y120" s="474"/>
      <c r="Z120" s="474"/>
      <c r="AA120" s="475"/>
      <c r="AB120" s="476"/>
      <c r="AC120" s="475"/>
      <c r="AD120" s="475"/>
      <c r="AE120" s="475"/>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row>
    <row r="121" customFormat="false" ht="15" hidden="false" customHeight="false" outlineLevel="0" collapsed="false">
      <c r="A121" s="472"/>
      <c r="B121" s="472"/>
      <c r="C121" s="473"/>
      <c r="D121" s="474"/>
      <c r="E121" s="474"/>
      <c r="F121" s="474"/>
      <c r="G121" s="474"/>
      <c r="H121" s="474"/>
      <c r="I121" s="474"/>
      <c r="J121" s="474"/>
      <c r="K121" s="474"/>
      <c r="L121" s="474"/>
      <c r="M121" s="474"/>
      <c r="N121" s="474"/>
      <c r="O121" s="474"/>
      <c r="P121" s="474"/>
      <c r="Q121" s="474"/>
      <c r="R121" s="474"/>
      <c r="S121" s="474"/>
      <c r="T121" s="474"/>
      <c r="U121" s="474"/>
      <c r="V121" s="474"/>
      <c r="W121" s="474"/>
      <c r="X121" s="474"/>
      <c r="Y121" s="474"/>
      <c r="Z121" s="474"/>
      <c r="AA121" s="475"/>
      <c r="AB121" s="476"/>
      <c r="AC121" s="475"/>
      <c r="AD121" s="475"/>
      <c r="AE121" s="475"/>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CB121" s="11"/>
      <c r="CD121" s="74"/>
    </row>
    <row r="122" customFormat="false" ht="15" hidden="false" customHeight="false" outlineLevel="0" collapsed="false">
      <c r="A122" s="472"/>
      <c r="B122" s="472"/>
      <c r="C122" s="473"/>
      <c r="AA122" s="475"/>
      <c r="AB122" s="476"/>
      <c r="AC122" s="475"/>
      <c r="AD122" s="475"/>
      <c r="AE122" s="475"/>
      <c r="CB122" s="11"/>
      <c r="CD122" s="74"/>
    </row>
    <row r="123" customFormat="false" ht="15" hidden="false" customHeight="false" outlineLevel="0" collapsed="false">
      <c r="A123" s="472"/>
      <c r="B123" s="472"/>
      <c r="C123" s="473"/>
      <c r="AA123" s="475"/>
      <c r="AB123" s="476"/>
      <c r="AC123" s="475"/>
      <c r="AD123" s="475"/>
      <c r="AE123" s="475"/>
      <c r="CB123" s="11"/>
    </row>
    <row r="124" customFormat="false" ht="15" hidden="false" customHeight="false" outlineLevel="0" collapsed="false">
      <c r="A124" s="472"/>
      <c r="B124" s="472"/>
      <c r="C124" s="473"/>
      <c r="AA124" s="475"/>
      <c r="AB124" s="476"/>
      <c r="AC124" s="475"/>
      <c r="AD124" s="475"/>
      <c r="AE124" s="475"/>
      <c r="CB124" s="11"/>
    </row>
    <row r="125" customFormat="false" ht="15" hidden="false" customHeight="false" outlineLevel="0" collapsed="false">
      <c r="A125" s="472"/>
      <c r="B125" s="472"/>
      <c r="C125" s="473"/>
      <c r="AA125" s="475"/>
      <c r="AB125" s="476"/>
      <c r="AC125" s="475"/>
      <c r="AD125" s="475"/>
      <c r="AE125" s="475"/>
      <c r="CB125" s="11"/>
      <c r="CC125" s="11"/>
      <c r="CD125" s="11"/>
      <c r="CE125" s="11"/>
      <c r="CF125" s="11"/>
      <c r="CG125" s="11"/>
      <c r="CH125" s="11"/>
    </row>
    <row r="126" customFormat="false" ht="15" hidden="false" customHeight="false" outlineLevel="0" collapsed="false">
      <c r="A126" s="472"/>
      <c r="B126" s="472"/>
      <c r="C126" s="473"/>
      <c r="AA126" s="475"/>
      <c r="AB126" s="476"/>
      <c r="AC126" s="475"/>
      <c r="AD126" s="475"/>
      <c r="AE126" s="475"/>
      <c r="CB126" s="11"/>
      <c r="CC126" s="11"/>
      <c r="CD126" s="11"/>
      <c r="CE126" s="11"/>
      <c r="CF126" s="11"/>
      <c r="CG126" s="11"/>
      <c r="CH126" s="11"/>
    </row>
    <row r="127" customFormat="false" ht="15" hidden="false" customHeight="false" outlineLevel="0" collapsed="false">
      <c r="A127" s="472"/>
      <c r="B127" s="472"/>
      <c r="C127" s="473"/>
      <c r="AA127" s="475"/>
      <c r="AB127" s="476"/>
      <c r="AC127" s="475"/>
      <c r="AD127" s="475"/>
      <c r="AE127" s="475"/>
      <c r="CB127" s="11"/>
      <c r="CC127" s="11"/>
      <c r="CD127" s="11"/>
      <c r="CE127" s="11"/>
      <c r="CF127" s="11"/>
      <c r="CG127" s="11"/>
      <c r="CH127" s="11"/>
    </row>
    <row r="128" customFormat="false" ht="15" hidden="false" customHeight="false" outlineLevel="0" collapsed="false">
      <c r="A128" s="472"/>
      <c r="B128" s="472"/>
      <c r="C128" s="473"/>
      <c r="AA128" s="475"/>
      <c r="AB128" s="476"/>
      <c r="AC128" s="475"/>
      <c r="AD128" s="475"/>
      <c r="AE128" s="475"/>
      <c r="CB128" s="11"/>
      <c r="CC128" s="11"/>
      <c r="CD128" s="11"/>
      <c r="CE128" s="11"/>
      <c r="CF128" s="11"/>
      <c r="CG128" s="11"/>
      <c r="CH128" s="11"/>
    </row>
    <row r="129" customFormat="false" ht="15" hidden="false" customHeight="false" outlineLevel="0" collapsed="false">
      <c r="A129" s="472"/>
      <c r="B129" s="472"/>
      <c r="C129" s="473"/>
      <c r="AA129" s="475"/>
      <c r="AB129" s="476"/>
      <c r="AC129" s="475"/>
      <c r="AD129" s="475"/>
      <c r="AE129" s="475"/>
      <c r="CB129" s="11"/>
      <c r="CC129" s="11"/>
      <c r="CD129" s="11"/>
      <c r="CE129" s="11"/>
      <c r="CF129" s="11"/>
      <c r="CG129" s="11"/>
      <c r="CH129" s="11"/>
    </row>
    <row r="130" customFormat="false" ht="15" hidden="false" customHeight="false" outlineLevel="0" collapsed="false">
      <c r="A130" s="472"/>
      <c r="B130" s="472"/>
      <c r="C130" s="473"/>
      <c r="AA130" s="475"/>
      <c r="AB130" s="476"/>
      <c r="AC130" s="475"/>
      <c r="AD130" s="475"/>
      <c r="AE130" s="475"/>
      <c r="CB130" s="11"/>
      <c r="CC130" s="11"/>
      <c r="CD130" s="11"/>
      <c r="CE130" s="11"/>
      <c r="CF130" s="11"/>
      <c r="CG130" s="11"/>
      <c r="CH130" s="11"/>
    </row>
    <row r="131" customFormat="false" ht="15" hidden="false" customHeight="false" outlineLevel="0" collapsed="false">
      <c r="A131" s="472"/>
      <c r="B131" s="472"/>
      <c r="C131" s="473"/>
      <c r="AA131" s="475"/>
      <c r="AB131" s="476"/>
      <c r="AC131" s="475"/>
      <c r="AD131" s="475"/>
      <c r="AE131" s="475"/>
      <c r="CB131" s="11"/>
      <c r="CC131" s="11"/>
      <c r="CD131" s="11"/>
      <c r="CE131" s="11"/>
      <c r="CF131" s="11"/>
      <c r="CG131" s="11"/>
      <c r="CH131" s="11"/>
    </row>
    <row r="132" customFormat="false" ht="15" hidden="false" customHeight="false" outlineLevel="0" collapsed="false">
      <c r="A132" s="472"/>
      <c r="B132" s="472"/>
      <c r="C132" s="473"/>
      <c r="AA132" s="475"/>
      <c r="AB132" s="476"/>
      <c r="AC132" s="475"/>
      <c r="AD132" s="475"/>
      <c r="AE132" s="475"/>
      <c r="CB132" s="11"/>
      <c r="CC132" s="11"/>
      <c r="CD132" s="11"/>
      <c r="CE132" s="11"/>
      <c r="CF132" s="11"/>
      <c r="CG132" s="11"/>
      <c r="CH132" s="11"/>
    </row>
    <row r="133" customFormat="false" ht="15" hidden="false" customHeight="false" outlineLevel="0" collapsed="false">
      <c r="A133" s="472"/>
      <c r="B133" s="472"/>
      <c r="C133" s="473"/>
      <c r="AA133" s="475"/>
      <c r="AB133" s="476"/>
      <c r="AC133" s="475"/>
      <c r="AD133" s="475"/>
      <c r="AE133" s="475"/>
      <c r="CB133" s="11"/>
    </row>
    <row r="134" customFormat="false" ht="15" hidden="false" customHeight="false" outlineLevel="0" collapsed="false">
      <c r="A134" s="472"/>
      <c r="B134" s="472"/>
      <c r="C134" s="473"/>
      <c r="AA134" s="475"/>
      <c r="AB134" s="476"/>
      <c r="AC134" s="475"/>
      <c r="AD134" s="475"/>
      <c r="AE134" s="475"/>
      <c r="CB134" s="11"/>
      <c r="CD134" s="11"/>
    </row>
    <row r="135" customFormat="false" ht="15" hidden="false" customHeight="false" outlineLevel="0" collapsed="false">
      <c r="A135" s="472"/>
      <c r="B135" s="472"/>
      <c r="C135" s="473"/>
      <c r="AA135" s="475"/>
      <c r="AB135" s="476"/>
      <c r="AC135" s="475"/>
      <c r="AD135" s="475"/>
      <c r="AE135" s="475"/>
      <c r="CB135" s="11"/>
      <c r="CD135" s="11"/>
    </row>
    <row r="136" customFormat="false" ht="15" hidden="false" customHeight="false" outlineLevel="0" collapsed="false">
      <c r="A136" s="472"/>
      <c r="B136" s="472"/>
      <c r="C136" s="473"/>
      <c r="AA136" s="475"/>
      <c r="AB136" s="476"/>
      <c r="AC136" s="475"/>
      <c r="AD136" s="475"/>
      <c r="AE136" s="475"/>
      <c r="CB136" s="11"/>
      <c r="CD136" s="11"/>
    </row>
    <row r="137" customFormat="false" ht="15" hidden="false" customHeight="false" outlineLevel="0" collapsed="false">
      <c r="A137" s="472"/>
      <c r="B137" s="472"/>
      <c r="C137" s="473"/>
      <c r="AA137" s="475"/>
      <c r="AB137" s="476"/>
      <c r="AC137" s="475"/>
      <c r="AD137" s="475"/>
      <c r="AE137" s="475"/>
      <c r="CB137" s="11"/>
      <c r="CD137" s="11"/>
    </row>
    <row r="138" customFormat="false" ht="15" hidden="false" customHeight="false" outlineLevel="0" collapsed="false">
      <c r="A138" s="472"/>
      <c r="B138" s="472"/>
      <c r="C138" s="473"/>
      <c r="AA138" s="475"/>
      <c r="AB138" s="476"/>
      <c r="AC138" s="475"/>
      <c r="AD138" s="475"/>
      <c r="AE138" s="475"/>
      <c r="CB138" s="11"/>
    </row>
    <row r="139" customFormat="false" ht="15" hidden="false" customHeight="false" outlineLevel="0" collapsed="false">
      <c r="A139" s="472"/>
      <c r="B139" s="472"/>
      <c r="C139" s="473"/>
      <c r="AA139" s="475"/>
      <c r="AB139" s="476"/>
      <c r="AC139" s="475"/>
      <c r="AD139" s="475"/>
      <c r="AE139" s="475"/>
      <c r="CB139" s="11"/>
    </row>
    <row r="140" customFormat="false" ht="15" hidden="false" customHeight="false" outlineLevel="0" collapsed="false">
      <c r="A140" s="472"/>
      <c r="B140" s="472"/>
      <c r="C140" s="473"/>
      <c r="AA140" s="475"/>
      <c r="AB140" s="476"/>
      <c r="AC140" s="475"/>
      <c r="AD140" s="475"/>
      <c r="AE140" s="475"/>
      <c r="CB140" s="11"/>
      <c r="CC140" s="61"/>
      <c r="CD140" s="61"/>
      <c r="CE140" s="61"/>
      <c r="CF140" s="61"/>
      <c r="CG140" s="61"/>
    </row>
    <row r="141" customFormat="false" ht="15" hidden="false" customHeight="false" outlineLevel="0" collapsed="false">
      <c r="A141" s="472"/>
      <c r="B141" s="472"/>
      <c r="C141" s="473"/>
      <c r="AA141" s="475"/>
      <c r="AB141" s="476"/>
      <c r="AC141" s="475"/>
      <c r="AD141" s="475"/>
      <c r="AE141" s="475"/>
      <c r="CB141" s="477"/>
      <c r="CD141" s="74"/>
    </row>
    <row r="142" customFormat="false" ht="15" hidden="false" customHeight="false" outlineLevel="0" collapsed="false">
      <c r="A142" s="472"/>
      <c r="B142" s="472"/>
      <c r="C142" s="473"/>
      <c r="AA142" s="475"/>
      <c r="AB142" s="476"/>
      <c r="AC142" s="475"/>
      <c r="AD142" s="475"/>
      <c r="AE142" s="475"/>
      <c r="CD142" s="74"/>
    </row>
    <row r="143" customFormat="false" ht="15" hidden="false" customHeight="false" outlineLevel="0" collapsed="false">
      <c r="A143" s="472"/>
      <c r="B143" s="472"/>
      <c r="C143" s="473"/>
      <c r="AA143" s="475"/>
      <c r="AB143" s="476"/>
      <c r="AC143" s="475"/>
      <c r="AD143" s="475"/>
      <c r="AE143" s="475"/>
      <c r="CB143" s="11"/>
      <c r="CD143" s="74"/>
    </row>
    <row r="144" customFormat="false" ht="15" hidden="false" customHeight="false" outlineLevel="0" collapsed="false">
      <c r="A144" s="472"/>
      <c r="B144" s="472"/>
      <c r="C144" s="473"/>
      <c r="AA144" s="475"/>
      <c r="AB144" s="476"/>
      <c r="AC144" s="475"/>
      <c r="AD144" s="475"/>
      <c r="AE144" s="475"/>
      <c r="CD144" s="74"/>
    </row>
    <row r="145" customFormat="false" ht="15" hidden="false" customHeight="false" outlineLevel="0" collapsed="false">
      <c r="A145" s="472"/>
      <c r="B145" s="472"/>
      <c r="C145" s="473"/>
      <c r="AA145" s="475"/>
      <c r="AB145" s="476"/>
      <c r="AC145" s="475"/>
      <c r="AD145" s="475"/>
      <c r="AE145" s="475"/>
      <c r="CD145" s="74"/>
    </row>
    <row r="146" customFormat="false" ht="15" hidden="false" customHeight="false" outlineLevel="0" collapsed="false">
      <c r="A146" s="472"/>
      <c r="B146" s="472"/>
      <c r="C146" s="473"/>
      <c r="AA146" s="475"/>
      <c r="AB146" s="476"/>
      <c r="AC146" s="475"/>
      <c r="AD146" s="475"/>
      <c r="AE146" s="475"/>
      <c r="CD146" s="74"/>
    </row>
    <row r="147" customFormat="false" ht="15" hidden="false" customHeight="false" outlineLevel="0" collapsed="false">
      <c r="A147" s="472"/>
      <c r="B147" s="472"/>
      <c r="C147" s="473"/>
      <c r="AA147" s="475"/>
      <c r="AB147" s="476"/>
      <c r="AC147" s="475"/>
      <c r="AD147" s="475"/>
      <c r="AE147" s="475"/>
    </row>
    <row r="148" customFormat="false" ht="15" hidden="false" customHeight="false" outlineLevel="0" collapsed="false">
      <c r="A148" s="472"/>
      <c r="B148" s="472"/>
      <c r="C148" s="473"/>
      <c r="AA148" s="475"/>
      <c r="AB148" s="476"/>
      <c r="AC148" s="475"/>
      <c r="AD148" s="475"/>
      <c r="AE148" s="475"/>
      <c r="CC148" s="61"/>
      <c r="CD148" s="61"/>
      <c r="CE148" s="61"/>
      <c r="CF148" s="61"/>
      <c r="CG148" s="61"/>
    </row>
    <row r="149" customFormat="false" ht="15" hidden="false" customHeight="false" outlineLevel="0" collapsed="false">
      <c r="A149" s="472"/>
      <c r="B149" s="472"/>
      <c r="C149" s="473"/>
      <c r="AA149" s="475"/>
      <c r="AB149" s="476"/>
      <c r="AC149" s="475"/>
      <c r="AD149" s="475"/>
      <c r="AE149" s="475"/>
      <c r="CD149" s="74"/>
    </row>
    <row r="150" customFormat="false" ht="15" hidden="false" customHeight="false" outlineLevel="0" collapsed="false">
      <c r="A150" s="472"/>
      <c r="B150" s="472"/>
      <c r="C150" s="473"/>
      <c r="AA150" s="475"/>
      <c r="AB150" s="476"/>
      <c r="AC150" s="475"/>
      <c r="AD150" s="475"/>
      <c r="AE150" s="475"/>
      <c r="CD150" s="74"/>
    </row>
    <row r="151" customFormat="false" ht="15" hidden="false" customHeight="false" outlineLevel="0" collapsed="false">
      <c r="A151" s="472"/>
      <c r="B151" s="472"/>
      <c r="C151" s="473"/>
      <c r="AA151" s="475"/>
      <c r="AB151" s="476"/>
      <c r="AC151" s="475"/>
      <c r="AD151" s="475"/>
      <c r="AE151" s="475"/>
      <c r="CD151" s="74"/>
    </row>
    <row r="152" customFormat="false" ht="15" hidden="false" customHeight="false" outlineLevel="0" collapsed="false">
      <c r="A152" s="472"/>
      <c r="B152" s="472"/>
      <c r="C152" s="473"/>
      <c r="AA152" s="475"/>
      <c r="AB152" s="476"/>
      <c r="AC152" s="475"/>
      <c r="AD152" s="475"/>
      <c r="AE152" s="475"/>
      <c r="CD152" s="74"/>
    </row>
    <row r="153" customFormat="false" ht="15" hidden="false" customHeight="false" outlineLevel="0" collapsed="false">
      <c r="A153" s="472"/>
      <c r="B153" s="472"/>
      <c r="C153" s="473"/>
      <c r="AA153" s="475"/>
      <c r="AB153" s="476"/>
      <c r="AC153" s="475"/>
      <c r="AD153" s="475"/>
      <c r="AE153" s="475"/>
      <c r="CD153" s="74"/>
    </row>
    <row r="154" customFormat="false" ht="15" hidden="false" customHeight="false" outlineLevel="0" collapsed="false">
      <c r="A154" s="472"/>
      <c r="B154" s="472"/>
      <c r="C154" s="473"/>
      <c r="AA154" s="475"/>
      <c r="AB154" s="476"/>
      <c r="AC154" s="475"/>
      <c r="AD154" s="475"/>
      <c r="AE154" s="475"/>
      <c r="CD154" s="74"/>
    </row>
    <row r="155" customFormat="false" ht="15" hidden="false" customHeight="false" outlineLevel="0" collapsed="false">
      <c r="A155" s="472"/>
      <c r="B155" s="472"/>
      <c r="C155" s="473"/>
      <c r="AA155" s="475"/>
      <c r="AB155" s="476"/>
      <c r="AC155" s="475"/>
      <c r="AD155" s="475"/>
      <c r="AE155" s="475"/>
    </row>
    <row r="156" customFormat="false" ht="15" hidden="false" customHeight="false" outlineLevel="0" collapsed="false">
      <c r="A156" s="472"/>
      <c r="B156" s="472"/>
      <c r="C156" s="473"/>
      <c r="AA156" s="475"/>
      <c r="AB156" s="476"/>
      <c r="AC156" s="475"/>
      <c r="AD156" s="475"/>
      <c r="AE156" s="475"/>
      <c r="CC156" s="61"/>
      <c r="CD156" s="61"/>
      <c r="CE156" s="61"/>
      <c r="CF156" s="61"/>
      <c r="CG156" s="61"/>
    </row>
    <row r="157" customFormat="false" ht="15" hidden="false" customHeight="false" outlineLevel="0" collapsed="false">
      <c r="A157" s="472"/>
      <c r="B157" s="472"/>
      <c r="C157" s="473"/>
      <c r="AA157" s="475"/>
      <c r="AB157" s="476"/>
      <c r="AC157" s="475"/>
      <c r="AD157" s="475"/>
      <c r="AE157" s="475"/>
      <c r="CD157" s="74"/>
    </row>
    <row r="158" customFormat="false" ht="15" hidden="false" customHeight="false" outlineLevel="0" collapsed="false">
      <c r="A158" s="472"/>
      <c r="B158" s="472"/>
      <c r="C158" s="473"/>
      <c r="AA158" s="475"/>
      <c r="AB158" s="476"/>
      <c r="AC158" s="475"/>
      <c r="AD158" s="475"/>
      <c r="AE158" s="475"/>
      <c r="CD158" s="74"/>
    </row>
    <row r="159" customFormat="false" ht="15" hidden="false" customHeight="false" outlineLevel="0" collapsed="false">
      <c r="A159" s="472"/>
      <c r="B159" s="472"/>
      <c r="C159" s="473"/>
      <c r="AA159" s="475"/>
      <c r="AB159" s="476"/>
      <c r="AC159" s="475"/>
      <c r="AD159" s="475"/>
      <c r="AE159" s="475"/>
      <c r="CD159" s="74"/>
    </row>
    <row r="160" customFormat="false" ht="15" hidden="false" customHeight="false" outlineLevel="0" collapsed="false">
      <c r="A160" s="472"/>
      <c r="B160" s="472"/>
      <c r="C160" s="473"/>
      <c r="AA160" s="475"/>
      <c r="AB160" s="476"/>
      <c r="AC160" s="475"/>
      <c r="AD160" s="475"/>
      <c r="AE160" s="475"/>
      <c r="CD160" s="74"/>
    </row>
    <row r="161" customFormat="false" ht="15" hidden="false" customHeight="false" outlineLevel="0" collapsed="false">
      <c r="A161" s="472"/>
      <c r="B161" s="472"/>
      <c r="C161" s="473"/>
      <c r="AA161" s="475"/>
      <c r="AB161" s="476"/>
      <c r="AC161" s="475"/>
      <c r="AD161" s="475"/>
      <c r="AE161" s="475"/>
      <c r="CD161" s="74"/>
    </row>
    <row r="162" customFormat="false" ht="15" hidden="false" customHeight="false" outlineLevel="0" collapsed="false">
      <c r="A162" s="472"/>
      <c r="B162" s="472"/>
      <c r="C162" s="473"/>
      <c r="AA162" s="475"/>
      <c r="AB162" s="476"/>
      <c r="AC162" s="475"/>
      <c r="AD162" s="475"/>
      <c r="AE162" s="475"/>
      <c r="CD162" s="74"/>
    </row>
    <row r="163" customFormat="false" ht="15" hidden="false" customHeight="false" outlineLevel="0" collapsed="false">
      <c r="A163" s="472"/>
      <c r="B163" s="472"/>
      <c r="C163" s="473"/>
      <c r="AA163" s="475"/>
      <c r="AB163" s="476"/>
      <c r="AC163" s="475"/>
      <c r="AD163" s="475"/>
      <c r="AE163" s="475"/>
    </row>
    <row r="164" customFormat="false" ht="15" hidden="false" customHeight="false" outlineLevel="0" collapsed="false">
      <c r="A164" s="472"/>
      <c r="B164" s="472"/>
      <c r="C164" s="473"/>
      <c r="AA164" s="475"/>
      <c r="AB164" s="476"/>
      <c r="AC164" s="475"/>
      <c r="AD164" s="475"/>
      <c r="AE164" s="475"/>
      <c r="BW164" s="61"/>
      <c r="BX164" s="61"/>
      <c r="BY164" s="61"/>
      <c r="BZ164" s="61"/>
      <c r="CA164" s="61"/>
      <c r="CC164" s="61"/>
      <c r="CD164" s="61"/>
      <c r="CE164" s="61"/>
      <c r="CF164" s="61"/>
      <c r="CG164" s="61"/>
    </row>
    <row r="165" customFormat="false" ht="15" hidden="false" customHeight="false" outlineLevel="0" collapsed="false">
      <c r="A165" s="472"/>
      <c r="B165" s="472"/>
      <c r="C165" s="473"/>
      <c r="AA165" s="475"/>
      <c r="AB165" s="476"/>
      <c r="AC165" s="475"/>
      <c r="AD165" s="475"/>
      <c r="AE165" s="475"/>
      <c r="BX165" s="74"/>
      <c r="CD165" s="74"/>
    </row>
    <row r="166" customFormat="false" ht="15" hidden="false" customHeight="false" outlineLevel="0" collapsed="false">
      <c r="A166" s="472"/>
      <c r="B166" s="472"/>
      <c r="C166" s="473"/>
      <c r="AA166" s="475"/>
      <c r="AB166" s="476"/>
      <c r="AC166" s="475"/>
      <c r="AD166" s="475"/>
      <c r="AE166" s="475"/>
      <c r="BX166" s="74"/>
      <c r="CD166" s="74"/>
    </row>
    <row r="167" customFormat="false" ht="15" hidden="false" customHeight="false" outlineLevel="0" collapsed="false">
      <c r="A167" s="472"/>
      <c r="B167" s="472"/>
      <c r="C167" s="473"/>
      <c r="AA167" s="475"/>
      <c r="AB167" s="476"/>
      <c r="AC167" s="475"/>
      <c r="AD167" s="475"/>
      <c r="AE167" s="475"/>
      <c r="BX167" s="74"/>
      <c r="CD167" s="74"/>
    </row>
    <row r="168" customFormat="false" ht="15" hidden="false" customHeight="false" outlineLevel="0" collapsed="false">
      <c r="A168" s="472"/>
      <c r="B168" s="472"/>
      <c r="C168" s="473"/>
      <c r="AA168" s="475"/>
      <c r="AB168" s="476"/>
      <c r="AC168" s="475"/>
      <c r="AD168" s="475"/>
      <c r="AE168" s="475"/>
      <c r="BX168" s="74"/>
      <c r="CD168" s="74"/>
    </row>
    <row r="169" customFormat="false" ht="15" hidden="false" customHeight="false" outlineLevel="0" collapsed="false">
      <c r="A169" s="472"/>
      <c r="B169" s="472"/>
      <c r="C169" s="473"/>
      <c r="AA169" s="475"/>
      <c r="AB169" s="476"/>
      <c r="AC169" s="475"/>
      <c r="AD169" s="475"/>
      <c r="AE169" s="475"/>
      <c r="BX169" s="74"/>
      <c r="CD169" s="74"/>
    </row>
    <row r="170" customFormat="false" ht="15" hidden="false" customHeight="false" outlineLevel="0" collapsed="false">
      <c r="A170" s="472"/>
      <c r="B170" s="472"/>
      <c r="C170" s="473"/>
      <c r="AA170" s="475"/>
      <c r="AB170" s="476"/>
      <c r="AC170" s="475"/>
      <c r="AD170" s="475"/>
      <c r="AE170" s="475"/>
      <c r="BX170" s="74"/>
      <c r="CD170" s="74"/>
    </row>
    <row r="171" customFormat="false" ht="15" hidden="false" customHeight="false" outlineLevel="0" collapsed="false">
      <c r="A171" s="472"/>
      <c r="B171" s="472"/>
      <c r="C171" s="473"/>
      <c r="AA171" s="475"/>
      <c r="AB171" s="476"/>
      <c r="AC171" s="475"/>
      <c r="AD171" s="475"/>
      <c r="AE171" s="475"/>
    </row>
    <row r="172" customFormat="false" ht="15" hidden="false" customHeight="false" outlineLevel="0" collapsed="false">
      <c r="A172" s="472"/>
      <c r="B172" s="472"/>
      <c r="C172" s="473"/>
      <c r="AA172" s="475"/>
      <c r="AB172" s="476"/>
      <c r="AC172" s="475"/>
      <c r="AD172" s="475"/>
      <c r="AE172" s="475"/>
      <c r="BW172" s="61"/>
      <c r="BX172" s="61"/>
      <c r="BY172" s="61"/>
      <c r="BZ172" s="61"/>
      <c r="CA172" s="61"/>
      <c r="CC172" s="61"/>
      <c r="CD172" s="61"/>
      <c r="CE172" s="61"/>
      <c r="CF172" s="61"/>
      <c r="CG172" s="61"/>
    </row>
    <row r="173" customFormat="false" ht="15" hidden="false" customHeight="false" outlineLevel="0" collapsed="false">
      <c r="A173" s="472"/>
      <c r="B173" s="472"/>
      <c r="C173" s="473"/>
      <c r="AA173" s="475"/>
      <c r="AB173" s="476"/>
      <c r="AC173" s="475"/>
      <c r="AD173" s="475"/>
      <c r="AE173" s="475"/>
      <c r="BX173" s="74"/>
      <c r="CD173" s="74"/>
    </row>
    <row r="174" customFormat="false" ht="15" hidden="false" customHeight="false" outlineLevel="0" collapsed="false">
      <c r="A174" s="472"/>
      <c r="B174" s="472"/>
      <c r="C174" s="473"/>
      <c r="AA174" s="475"/>
      <c r="AB174" s="476"/>
      <c r="AC174" s="475"/>
      <c r="AD174" s="475"/>
      <c r="AE174" s="475"/>
      <c r="BX174" s="74"/>
      <c r="CD174" s="74"/>
    </row>
    <row r="175" customFormat="false" ht="15" hidden="false" customHeight="false" outlineLevel="0" collapsed="false">
      <c r="A175" s="472"/>
      <c r="B175" s="472"/>
      <c r="C175" s="473"/>
      <c r="AA175" s="475"/>
      <c r="AB175" s="476"/>
      <c r="AC175" s="475"/>
      <c r="AD175" s="475"/>
      <c r="AE175" s="475"/>
      <c r="BX175" s="74"/>
      <c r="CD175" s="74"/>
    </row>
    <row r="176" customFormat="false" ht="15" hidden="false" customHeight="false" outlineLevel="0" collapsed="false">
      <c r="A176" s="472"/>
      <c r="B176" s="472"/>
      <c r="C176" s="473"/>
      <c r="AA176" s="475"/>
      <c r="AB176" s="476"/>
      <c r="AC176" s="475"/>
      <c r="AD176" s="475"/>
      <c r="AE176" s="475"/>
      <c r="BX176" s="74"/>
      <c r="CD176" s="74"/>
    </row>
    <row r="177" customFormat="false" ht="15" hidden="false" customHeight="false" outlineLevel="0" collapsed="false">
      <c r="A177" s="472"/>
      <c r="B177" s="472"/>
      <c r="C177" s="473"/>
      <c r="AA177" s="475"/>
      <c r="AB177" s="476"/>
      <c r="AC177" s="475"/>
      <c r="AD177" s="475"/>
      <c r="AE177" s="475"/>
      <c r="BX177" s="74"/>
      <c r="CD177" s="74"/>
    </row>
    <row r="178" customFormat="false" ht="15" hidden="false" customHeight="false" outlineLevel="0" collapsed="false">
      <c r="A178" s="472"/>
      <c r="B178" s="472"/>
      <c r="C178" s="473"/>
      <c r="AA178" s="475"/>
      <c r="AB178" s="476"/>
      <c r="AC178" s="475"/>
      <c r="AD178" s="475"/>
      <c r="AE178" s="475"/>
      <c r="BX178" s="74"/>
      <c r="CD178" s="74"/>
    </row>
    <row r="179" customFormat="false" ht="15" hidden="false" customHeight="false" outlineLevel="0" collapsed="false">
      <c r="A179" s="472"/>
      <c r="B179" s="472"/>
      <c r="C179" s="473"/>
      <c r="AA179" s="475"/>
      <c r="AB179" s="476"/>
      <c r="AC179" s="475"/>
      <c r="AD179" s="475"/>
      <c r="AE179" s="475"/>
    </row>
    <row r="180" customFormat="false" ht="15" hidden="false" customHeight="false" outlineLevel="0" collapsed="false">
      <c r="A180" s="472"/>
      <c r="B180" s="472"/>
      <c r="C180" s="473"/>
      <c r="AA180" s="475"/>
      <c r="AB180" s="476"/>
      <c r="AC180" s="475"/>
      <c r="AD180" s="475"/>
      <c r="AE180" s="475"/>
      <c r="BW180" s="61"/>
      <c r="BX180" s="61"/>
      <c r="BY180" s="61"/>
      <c r="BZ180" s="61"/>
      <c r="CA180" s="61"/>
      <c r="CC180" s="61"/>
      <c r="CD180" s="61"/>
      <c r="CE180" s="61"/>
      <c r="CF180" s="61"/>
      <c r="CG180" s="61"/>
    </row>
    <row r="181" customFormat="false" ht="15" hidden="false" customHeight="false" outlineLevel="0" collapsed="false">
      <c r="A181" s="472"/>
      <c r="B181" s="472"/>
      <c r="C181" s="473"/>
      <c r="AA181" s="475"/>
      <c r="AB181" s="476"/>
      <c r="AC181" s="475"/>
      <c r="AD181" s="475"/>
      <c r="AE181" s="475"/>
      <c r="BX181" s="74"/>
      <c r="CD181" s="74"/>
    </row>
    <row r="182" customFormat="false" ht="15" hidden="false" customHeight="false" outlineLevel="0" collapsed="false">
      <c r="A182" s="472"/>
      <c r="B182" s="472"/>
      <c r="C182" s="473"/>
      <c r="AA182" s="475"/>
      <c r="AB182" s="476"/>
      <c r="AC182" s="475"/>
      <c r="AD182" s="475"/>
      <c r="AE182" s="475"/>
      <c r="BX182" s="74"/>
      <c r="CD182" s="74"/>
    </row>
    <row r="183" customFormat="false" ht="15" hidden="false" customHeight="false" outlineLevel="0" collapsed="false">
      <c r="BX183" s="74"/>
      <c r="CD183" s="74"/>
    </row>
    <row r="184" customFormat="false" ht="15" hidden="false" customHeight="false" outlineLevel="0" collapsed="false">
      <c r="BX184" s="74"/>
      <c r="CD184" s="74"/>
    </row>
    <row r="185" customFormat="false" ht="15" hidden="false" customHeight="false" outlineLevel="0" collapsed="false">
      <c r="BX185" s="74"/>
      <c r="CD185" s="74"/>
    </row>
    <row r="186" customFormat="false" ht="15" hidden="false" customHeight="false" outlineLevel="0" collapsed="false">
      <c r="BX186" s="74"/>
      <c r="CD186" s="74"/>
    </row>
    <row r="187" customFormat="false" ht="15" hidden="false" customHeight="false" outlineLevel="0" collapsed="false"/>
    <row r="188" customFormat="false" ht="15" hidden="false" customHeight="false" outlineLevel="0" collapsed="false">
      <c r="BW188" s="61"/>
      <c r="BX188" s="61"/>
      <c r="BY188" s="61"/>
      <c r="BZ188" s="61"/>
      <c r="CA188" s="61"/>
      <c r="CC188" s="61"/>
      <c r="CD188" s="61"/>
      <c r="CE188" s="61"/>
      <c r="CF188" s="61"/>
      <c r="CG188" s="61"/>
    </row>
    <row r="189" customFormat="false" ht="15" hidden="false" customHeight="false" outlineLevel="0" collapsed="false">
      <c r="BX189" s="74"/>
      <c r="CD189" s="74"/>
    </row>
    <row r="190" customFormat="false" ht="15" hidden="false" customHeight="false" outlineLevel="0" collapsed="false">
      <c r="BX190" s="74"/>
      <c r="CD190" s="74"/>
    </row>
    <row r="191" customFormat="false" ht="15" hidden="false" customHeight="false" outlineLevel="0" collapsed="false">
      <c r="BX191" s="74"/>
      <c r="CD191" s="74"/>
    </row>
    <row r="192" customFormat="false" ht="15" hidden="false" customHeight="false" outlineLevel="0" collapsed="false">
      <c r="BX192" s="74"/>
      <c r="CD192" s="74"/>
    </row>
    <row r="193" customFormat="false" ht="15" hidden="false" customHeight="false" outlineLevel="0" collapsed="false">
      <c r="BX193" s="74"/>
      <c r="CD193" s="74"/>
    </row>
    <row r="194" customFormat="false" ht="15" hidden="false" customHeight="false" outlineLevel="0" collapsed="false">
      <c r="BX194" s="74"/>
      <c r="CD194" s="74"/>
    </row>
    <row r="195" customFormat="false" ht="15" hidden="false" customHeight="false" outlineLevel="0" collapsed="false"/>
    <row r="196" customFormat="false" ht="15" hidden="false" customHeight="false" outlineLevel="0" collapsed="false">
      <c r="BW196" s="61"/>
      <c r="BX196" s="61"/>
      <c r="BY196" s="61"/>
      <c r="BZ196" s="61"/>
      <c r="CA196" s="61"/>
      <c r="CC196" s="61"/>
      <c r="CD196" s="61"/>
      <c r="CE196" s="61"/>
      <c r="CF196" s="61"/>
      <c r="CG196" s="61"/>
    </row>
    <row r="197" customFormat="false" ht="15" hidden="false" customHeight="false" outlineLevel="0" collapsed="false">
      <c r="BX197" s="74"/>
      <c r="CD197" s="74"/>
    </row>
    <row r="198" customFormat="false" ht="15" hidden="false" customHeight="false" outlineLevel="0" collapsed="false">
      <c r="BX198" s="74"/>
      <c r="CD198" s="74"/>
    </row>
    <row r="199" customFormat="false" ht="15" hidden="false" customHeight="false" outlineLevel="0" collapsed="false">
      <c r="BX199" s="74"/>
      <c r="CD199" s="74"/>
    </row>
    <row r="200" customFormat="false" ht="15" hidden="false" customHeight="false" outlineLevel="0" collapsed="false">
      <c r="BX200" s="74"/>
      <c r="CD200" s="74"/>
    </row>
    <row r="201" customFormat="false" ht="15" hidden="false" customHeight="false" outlineLevel="0" collapsed="false">
      <c r="BX201" s="74"/>
      <c r="CD201" s="74"/>
    </row>
    <row r="202" customFormat="false" ht="15" hidden="false" customHeight="false" outlineLevel="0" collapsed="false">
      <c r="BX202" s="74"/>
      <c r="CD202" s="74"/>
    </row>
    <row r="203" customFormat="false" ht="15" hidden="false" customHeight="false" outlineLevel="0" collapsed="false"/>
    <row r="204" customFormat="false" ht="15" hidden="false" customHeight="false" outlineLevel="0" collapsed="false">
      <c r="BW204" s="61"/>
      <c r="BX204" s="61"/>
      <c r="BY204" s="61"/>
      <c r="BZ204" s="61"/>
      <c r="CA204" s="61"/>
      <c r="CC204" s="61"/>
      <c r="CD204" s="61"/>
      <c r="CE204" s="61"/>
      <c r="CF204" s="61"/>
      <c r="CG204" s="61"/>
    </row>
    <row r="205" customFormat="false" ht="15" hidden="false" customHeight="false" outlineLevel="0" collapsed="false">
      <c r="BX205" s="74"/>
      <c r="CD205" s="74"/>
    </row>
    <row r="206" customFormat="false" ht="15" hidden="false" customHeight="false" outlineLevel="0" collapsed="false">
      <c r="BX206" s="74"/>
      <c r="CD206" s="74"/>
    </row>
    <row r="207" customFormat="false" ht="15" hidden="false" customHeight="false" outlineLevel="0" collapsed="false">
      <c r="BX207" s="74"/>
      <c r="CD207" s="74"/>
    </row>
    <row r="208" customFormat="false" ht="15" hidden="false" customHeight="false" outlineLevel="0" collapsed="false">
      <c r="BX208" s="74"/>
      <c r="CD208" s="74"/>
    </row>
    <row r="209" customFormat="false" ht="15" hidden="false" customHeight="false" outlineLevel="0" collapsed="false">
      <c r="BX209" s="74"/>
      <c r="CD209" s="74"/>
    </row>
    <row r="210" customFormat="false" ht="15" hidden="false" customHeight="false" outlineLevel="0" collapsed="false">
      <c r="BX210" s="74"/>
      <c r="CD210" s="74"/>
    </row>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sheetData>
  <sheetProtection algorithmName="SHA-512" hashValue="P8lXHDixq1R37jINN7Qa0b1A68/SXcl+oWjq1j5T7yO4qSy+78bJ/uVLnyapThi6+0uApZ3O1d7nX5w3Z1m4OQ==" saltValue="+gmUrsaGGBr6IcbgLdsSUA==" spinCount="100000" sheet="true" objects="true" scenarios="true" selectLockedCells="true"/>
  <mergeCells count="46">
    <mergeCell ref="G1:H1"/>
    <mergeCell ref="I1:N1"/>
    <mergeCell ref="E4:E9"/>
    <mergeCell ref="Q4:Z4"/>
    <mergeCell ref="AB4:AD5"/>
    <mergeCell ref="E12:E17"/>
    <mergeCell ref="Q12:Z12"/>
    <mergeCell ref="AB12:AD13"/>
    <mergeCell ref="E20:E25"/>
    <mergeCell ref="Q20:Z20"/>
    <mergeCell ref="AB20:AD21"/>
    <mergeCell ref="E28:E33"/>
    <mergeCell ref="Q28:Z28"/>
    <mergeCell ref="AB28:AD29"/>
    <mergeCell ref="E36:E41"/>
    <mergeCell ref="Q36:Z36"/>
    <mergeCell ref="AB36:AD37"/>
    <mergeCell ref="E44:E49"/>
    <mergeCell ref="Q44:Z44"/>
    <mergeCell ref="AB44:AD45"/>
    <mergeCell ref="E52:E57"/>
    <mergeCell ref="Q52:Z52"/>
    <mergeCell ref="AB52:AD53"/>
    <mergeCell ref="E60:E65"/>
    <mergeCell ref="Q60:Z60"/>
    <mergeCell ref="AB60:AD61"/>
    <mergeCell ref="E67:N67"/>
    <mergeCell ref="E69:E76"/>
    <mergeCell ref="E78:N78"/>
    <mergeCell ref="E80:E83"/>
    <mergeCell ref="E84:N84"/>
    <mergeCell ref="E86:E87"/>
    <mergeCell ref="E88:N88"/>
    <mergeCell ref="E91:N91"/>
    <mergeCell ref="I97:N97"/>
    <mergeCell ref="Q97:AA99"/>
    <mergeCell ref="I98:N98"/>
    <mergeCell ref="I99:N99"/>
    <mergeCell ref="Q100:AA102"/>
    <mergeCell ref="I101:N101"/>
    <mergeCell ref="I102:N102"/>
    <mergeCell ref="I103:N103"/>
    <mergeCell ref="I105:N105"/>
    <mergeCell ref="I106:N106"/>
    <mergeCell ref="I107:N107"/>
    <mergeCell ref="I109:N109"/>
  </mergeCells>
  <conditionalFormatting sqref="K86:L87">
    <cfRule type="expression" priority="2" aboveAverage="0" equalAverage="0" bottom="0" percent="0" rank="0" text="" dxfId="0">
      <formula>K86=""</formula>
    </cfRule>
  </conditionalFormatting>
  <conditionalFormatting sqref="K80:L80">
    <cfRule type="expression" priority="3" aboveAverage="0" equalAverage="0" bottom="0" percent="0" rank="0" text="" dxfId="1">
      <formula>K80=""</formula>
    </cfRule>
  </conditionalFormatting>
  <conditionalFormatting sqref="K81:L81">
    <cfRule type="expression" priority="4" aboveAverage="0" equalAverage="0" bottom="0" percent="0" rank="0" text="" dxfId="2">
      <formula>K81=""</formula>
    </cfRule>
  </conditionalFormatting>
  <conditionalFormatting sqref="K82:L82">
    <cfRule type="expression" priority="5" aboveAverage="0" equalAverage="0" bottom="0" percent="0" rank="0" text="" dxfId="3">
      <formula>K82=""</formula>
    </cfRule>
  </conditionalFormatting>
  <conditionalFormatting sqref="K83:L83">
    <cfRule type="expression" priority="6" aboveAverage="0" equalAverage="0" bottom="0" percent="0" rank="0" text="" dxfId="4">
      <formula>K83=""</formula>
    </cfRule>
  </conditionalFormatting>
  <conditionalFormatting sqref="J80 M80">
    <cfRule type="expression" priority="7" aboveAverage="0" equalAverage="0" bottom="0" percent="0" rank="0" text="" dxfId="5">
      <formula>IF(COUNT($K80:$L80)=2,IF(AND($J80&lt;&gt;$M80,$K80=$L80,$J80&lt;&gt;"",$M80&lt;&gt;""),1=2,IF(AND($J80&lt;&gt;"",$K80=$L80),1=1,IF(AND($J80="",$K80=$L80),1=1,1=2))),1=2)</formula>
    </cfRule>
  </conditionalFormatting>
  <conditionalFormatting sqref="AC6:AC9">
    <cfRule type="expression" priority="8" aboveAverage="0" equalAverage="0" bottom="0" percent="0" rank="0" text="" dxfId="6">
      <formula>IF(AND(VLOOKUP(AB6,$R$6:$AA$9,10,0)&gt;=0,VLOOKUP(AB6,$R$6:$AA$9,10,0)&lt;90),1,0)</formula>
    </cfRule>
  </conditionalFormatting>
  <conditionalFormatting sqref="AB4:AD5">
    <cfRule type="expression" priority="9" aboveAverage="0" equalAverage="0" bottom="0" percent="0" rank="0" text="" dxfId="7">
      <formula>$AA$5&gt;0</formula>
    </cfRule>
  </conditionalFormatting>
  <conditionalFormatting sqref="Q8:Q9">
    <cfRule type="expression" priority="10" aboveAverage="0" equalAverage="0" bottom="0" percent="0" rank="0" text="" dxfId="8">
      <formula>SUM($T$6:$T$9)=12</formula>
    </cfRule>
  </conditionalFormatting>
  <conditionalFormatting sqref="Z8:Z9">
    <cfRule type="expression" priority="11" aboveAverage="0" equalAverage="0" bottom="0" percent="0" rank="0" text="" dxfId="9">
      <formula>SUM($T$6:$T$9)=12</formula>
    </cfRule>
  </conditionalFormatting>
  <conditionalFormatting sqref="R8:Y9">
    <cfRule type="expression" priority="12" aboveAverage="0" equalAverage="0" bottom="0" percent="0" rank="0" text="" dxfId="10">
      <formula>SUM($T$6:$T$9)=12</formula>
    </cfRule>
  </conditionalFormatting>
  <conditionalFormatting sqref="J86:J87 M86:M87">
    <cfRule type="expression" priority="13" aboveAverage="0" equalAverage="0" bottom="0" percent="0" rank="0" text="" dxfId="11">
      <formula>IF(COUNT($K86:$L86)=2,IF(AND($J86&lt;&gt;$M86,$K86=$L86,$J86&lt;&gt;"",$M86&lt;&gt;""),1=2,IF(AND($J86&lt;&gt;"",$K86=$L86),1=1,IF(AND($J86="",$K86=$L86),1=1,1=2))),1=2)</formula>
    </cfRule>
  </conditionalFormatting>
  <conditionalFormatting sqref="AA6:AA9">
    <cfRule type="iconSet" priority="14">
      <iconSet iconSet="3Symbols2" showValue="0">
        <cfvo type="percent" val="0"/>
        <cfvo type="num" val="0"/>
        <cfvo type="num" val="90"/>
      </iconSet>
    </cfRule>
  </conditionalFormatting>
  <conditionalFormatting sqref="O4:O9">
    <cfRule type="iconSet" priority="15">
      <iconSet iconSet="3Symbols2" showValue="0">
        <cfvo type="percent" val="0"/>
        <cfvo type="num" val="0.5"/>
        <cfvo type="num" val="1"/>
      </iconSet>
    </cfRule>
  </conditionalFormatting>
  <conditionalFormatting sqref="K12:L12">
    <cfRule type="expression" priority="16" aboveAverage="0" equalAverage="0" bottom="0" percent="0" rank="0" text="" dxfId="12">
      <formula>K12=""</formula>
    </cfRule>
  </conditionalFormatting>
  <conditionalFormatting sqref="K13:L17">
    <cfRule type="expression" priority="17" aboveAverage="0" equalAverage="0" bottom="0" percent="0" rank="0" text="" dxfId="13">
      <formula>K13=""</formula>
    </cfRule>
  </conditionalFormatting>
  <conditionalFormatting sqref="AC14:AC17">
    <cfRule type="expression" priority="18" aboveAverage="0" equalAverage="0" bottom="0" percent="0" rank="0" text="" dxfId="14">
      <formula>IF(AND(VLOOKUP(AB14,$R$14:$AA$17,10,0)&gt;=0,VLOOKUP(AB14,$R$14:$AA$17,10,0)&lt;90),1,0)</formula>
    </cfRule>
  </conditionalFormatting>
  <conditionalFormatting sqref="AB12:AD13">
    <cfRule type="expression" priority="19" aboveAverage="0" equalAverage="0" bottom="0" percent="0" rank="0" text="" dxfId="15">
      <formula>$AA$13&gt;0</formula>
    </cfRule>
  </conditionalFormatting>
  <conditionalFormatting sqref="R16:Y17">
    <cfRule type="expression" priority="20" aboveAverage="0" equalAverage="0" bottom="0" percent="0" rank="0" text="" dxfId="16">
      <formula>SUM($T$14:$T$17)=12</formula>
    </cfRule>
  </conditionalFormatting>
  <conditionalFormatting sqref="AA14:AA17">
    <cfRule type="iconSet" priority="21">
      <iconSet iconSet="3Symbols2" showValue="0">
        <cfvo type="percent" val="0"/>
        <cfvo type="num" val="0"/>
        <cfvo type="num" val="90"/>
      </iconSet>
    </cfRule>
  </conditionalFormatting>
  <conditionalFormatting sqref="O12:O17">
    <cfRule type="iconSet" priority="22">
      <iconSet iconSet="3Symbols2" showValue="0">
        <cfvo type="percent" val="0"/>
        <cfvo type="num" val="0.5"/>
        <cfvo type="num" val="1"/>
      </iconSet>
    </cfRule>
  </conditionalFormatting>
  <conditionalFormatting sqref="K20:L20">
    <cfRule type="expression" priority="23" aboveAverage="0" equalAverage="0" bottom="0" percent="0" rank="0" text="" dxfId="17">
      <formula>K20=""</formula>
    </cfRule>
  </conditionalFormatting>
  <conditionalFormatting sqref="K21:L25">
    <cfRule type="expression" priority="24" aboveAverage="0" equalAverage="0" bottom="0" percent="0" rank="0" text="" dxfId="18">
      <formula>K21=""</formula>
    </cfRule>
  </conditionalFormatting>
  <conditionalFormatting sqref="AC22:AC25">
    <cfRule type="expression" priority="25" aboveAverage="0" equalAverage="0" bottom="0" percent="0" rank="0" text="" dxfId="19">
      <formula>IF(AND(VLOOKUP(AB22,$R$22:$AA$25,10,0)&gt;=0,VLOOKUP(AB22,$R$22:$AA$25,10,0)&lt;90),1,0)</formula>
    </cfRule>
  </conditionalFormatting>
  <conditionalFormatting sqref="AB20:AD21">
    <cfRule type="expression" priority="26" aboveAverage="0" equalAverage="0" bottom="0" percent="0" rank="0" text="" dxfId="20">
      <formula>$AA$21&gt;0</formula>
    </cfRule>
  </conditionalFormatting>
  <conditionalFormatting sqref="Q24:Q25">
    <cfRule type="expression" priority="27" aboveAverage="0" equalAverage="0" bottom="0" percent="0" rank="0" text="" dxfId="21">
      <formula>SUM($T$22:$T$25)=12</formula>
    </cfRule>
  </conditionalFormatting>
  <conditionalFormatting sqref="Z24:Z25">
    <cfRule type="expression" priority="28" aboveAverage="0" equalAverage="0" bottom="0" percent="0" rank="0" text="" dxfId="22">
      <formula>SUM($T$22:$T$25)=12</formula>
    </cfRule>
  </conditionalFormatting>
  <conditionalFormatting sqref="R24:Y25">
    <cfRule type="expression" priority="29" aboveAverage="0" equalAverage="0" bottom="0" percent="0" rank="0" text="" dxfId="23">
      <formula>SUM($T$22:$T$25)=12</formula>
    </cfRule>
  </conditionalFormatting>
  <conditionalFormatting sqref="O20:O25">
    <cfRule type="iconSet" priority="30">
      <iconSet iconSet="3Symbols2" showValue="0">
        <cfvo type="percent" val="0"/>
        <cfvo type="num" val="0.5"/>
        <cfvo type="num" val="1"/>
      </iconSet>
    </cfRule>
  </conditionalFormatting>
  <conditionalFormatting sqref="J90 M90">
    <cfRule type="expression" priority="31" aboveAverage="0" equalAverage="0" bottom="0" percent="0" rank="0" text="" dxfId="24">
      <formula>IF(COUNT($K90:$L90)=2,IF(AND($J90&lt;&gt;$M90,$K90=$L90,$J90&lt;&gt;"",$M90&lt;&gt;""),1=2,IF(AND($J90&lt;&gt;"",$K90=$L90),1=1,IF(AND($J90="",$K90=$L90),1=1,1=2))),1=2)</formula>
    </cfRule>
  </conditionalFormatting>
  <conditionalFormatting sqref="K90:L90">
    <cfRule type="expression" priority="32" aboveAverage="0" equalAverage="0" bottom="0" percent="0" rank="0" text="" dxfId="25">
      <formula>K90=""</formula>
    </cfRule>
  </conditionalFormatting>
  <conditionalFormatting sqref="O90">
    <cfRule type="iconSet" priority="33">
      <iconSet iconSet="3Symbols2" showValue="0">
        <cfvo type="percent" val="0"/>
        <cfvo type="num" val="0.5"/>
        <cfvo type="num" val="1"/>
      </iconSet>
    </cfRule>
  </conditionalFormatting>
  <conditionalFormatting sqref="O97:O98">
    <cfRule type="iconSet" priority="34">
      <iconSet iconSet="3Symbols2" showValue="0">
        <cfvo type="percent" val="0"/>
        <cfvo type="num" val="0.5"/>
        <cfvo type="num" val="1"/>
      </iconSet>
    </cfRule>
  </conditionalFormatting>
  <conditionalFormatting sqref="O101:O103">
    <cfRule type="iconSet" priority="35">
      <iconSet iconSet="3Symbols2" showValue="0">
        <cfvo type="percent" val="0"/>
        <cfvo type="num" val="0.5"/>
        <cfvo type="num" val="1"/>
      </iconSet>
    </cfRule>
  </conditionalFormatting>
  <conditionalFormatting sqref="O109">
    <cfRule type="iconSet" priority="36">
      <iconSet iconSet="3Symbols2" showValue="0">
        <cfvo type="percent" val="0"/>
        <cfvo type="num" val="0.5"/>
        <cfvo type="num" val="1"/>
      </iconSet>
    </cfRule>
  </conditionalFormatting>
  <conditionalFormatting sqref="Q97:AA102">
    <cfRule type="expression" priority="37" aboveAverage="0" equalAverage="0" bottom="0" percent="0" rank="0" text="" dxfId="26">
      <formula>IF($Q$97="PORRA COMPLETA:",1,0)</formula>
    </cfRule>
  </conditionalFormatting>
  <conditionalFormatting sqref="J83">
    <cfRule type="expression" priority="38" aboveAverage="0" equalAverage="0" bottom="0" percent="0" rank="0" text="" dxfId="27">
      <formula>IF(COUNT($K83:$L83)=2,IF(AND($J83&lt;&gt;$M83,$K83=$L83,$J83&lt;&gt;"",$M83&lt;&gt;""),1=2,IF(AND($J83&lt;&gt;"",$K83=$L83),1=1,IF(AND($J83="",$K83=$L83),1=1,1=2))),1=2)</formula>
    </cfRule>
  </conditionalFormatting>
  <conditionalFormatting sqref="M83">
    <cfRule type="expression" priority="39" aboveAverage="0" equalAverage="0" bottom="0" percent="0" rank="0" text="" dxfId="28">
      <formula>IF(COUNT($K83:$L83)=2,IF(AND($J83&lt;&gt;$M83,$K83=$L83,$J83&lt;&gt;"",$M83&lt;&gt;""),1=2,IF(AND($J83&lt;&gt;"",$K83=$L83),1=1,IF(AND($J83="",$K83=$L83),1=1,1=2))),1=2)</formula>
    </cfRule>
  </conditionalFormatting>
  <conditionalFormatting sqref="J81">
    <cfRule type="expression" priority="40" aboveAverage="0" equalAverage="0" bottom="0" percent="0" rank="0" text="" dxfId="29">
      <formula>IF(COUNT($K81:$L81)=2,IF(AND($J81&lt;&gt;$M81,$K81=$L81,$J81&lt;&gt;"",$M81&lt;&gt;""),1=2,IF(AND($J81&lt;&gt;"",$K81=$L81),1=1,IF(AND($J81="",$K81=$L81),1=1,1=2))),1=2)</formula>
    </cfRule>
  </conditionalFormatting>
  <conditionalFormatting sqref="M81">
    <cfRule type="expression" priority="41" aboveAverage="0" equalAverage="0" bottom="0" percent="0" rank="0" text="" dxfId="30">
      <formula>IF(COUNT($K81:$L81)=2,IF(AND($J81&lt;&gt;$M81,$K81=$L81,$J81&lt;&gt;"",$M81&lt;&gt;""),1=2,IF(AND($J81&lt;&gt;"",$K81=$L81),1=1,IF(AND($J81="",$K81=$L81),1=1,1=2))),1=2)</formula>
    </cfRule>
  </conditionalFormatting>
  <conditionalFormatting sqref="J82">
    <cfRule type="expression" priority="42" aboveAverage="0" equalAverage="0" bottom="0" percent="0" rank="0" text="" dxfId="31">
      <formula>IF(COUNT($K82:$L82)=2,IF(AND($J82&lt;&gt;$M82,$K82=$L82,$J82&lt;&gt;"",$M82&lt;&gt;""),1=2,IF(AND($J82&lt;&gt;"",$K82=$L82),1=1,IF(AND($J82="",$K82=$L82),1=1,1=2))),1=2)</formula>
    </cfRule>
  </conditionalFormatting>
  <conditionalFormatting sqref="M82">
    <cfRule type="expression" priority="43" aboveAverage="0" equalAverage="0" bottom="0" percent="0" rank="0" text="" dxfId="32">
      <formula>IF(COUNT($K82:$L82)=2,IF(AND($J82&lt;&gt;$M82,$K82=$L82,$J82&lt;&gt;"",$M82&lt;&gt;""),1=2,IF(AND($J82&lt;&gt;"",$K82=$L82),1=1,IF(AND($J82="",$K82=$L82),1=1,1=2))),1=2)</formula>
    </cfRule>
  </conditionalFormatting>
  <conditionalFormatting sqref="AC30:AC33">
    <cfRule type="expression" priority="44" aboveAverage="0" equalAverage="0" bottom="0" percent="0" rank="0" text="" dxfId="33">
      <formula>IF(AND(VLOOKUP(AB30,$R$30:$AA$33,10,0)&gt;=0,VLOOKUP(AB30,$R$30:$AA$33,10,0)&lt;90),1,0)</formula>
    </cfRule>
  </conditionalFormatting>
  <conditionalFormatting sqref="AB28:AD29">
    <cfRule type="expression" priority="45" aboveAverage="0" equalAverage="0" bottom="0" percent="0" rank="0" text="" dxfId="34">
      <formula>$AA$29&gt;0</formula>
    </cfRule>
  </conditionalFormatting>
  <conditionalFormatting sqref="Q32:Q33">
    <cfRule type="expression" priority="46" aboveAverage="0" equalAverage="0" bottom="0" percent="0" rank="0" text="" dxfId="35">
      <formula>SUM($T$30:$T$33)=12</formula>
    </cfRule>
  </conditionalFormatting>
  <conditionalFormatting sqref="Z32:Z33">
    <cfRule type="expression" priority="47" aboveAverage="0" equalAverage="0" bottom="0" percent="0" rank="0" text="" dxfId="36">
      <formula>SUM($T$30:$T$33)=12</formula>
    </cfRule>
  </conditionalFormatting>
  <conditionalFormatting sqref="R32:Y33">
    <cfRule type="expression" priority="48" aboveAverage="0" equalAverage="0" bottom="0" percent="0" rank="0" text="" dxfId="37">
      <formula>SUM($T$30:$T$33)=12</formula>
    </cfRule>
  </conditionalFormatting>
  <conditionalFormatting sqref="AA30:AA33">
    <cfRule type="iconSet" priority="49">
      <iconSet iconSet="3Symbols2" showValue="0">
        <cfvo type="percent" val="0"/>
        <cfvo type="num" val="0"/>
        <cfvo type="num" val="90"/>
      </iconSet>
    </cfRule>
  </conditionalFormatting>
  <conditionalFormatting sqref="O28:O33">
    <cfRule type="iconSet" priority="50">
      <iconSet iconSet="3Symbols2" showValue="0">
        <cfvo type="percent" val="0"/>
        <cfvo type="num" val="0.5"/>
        <cfvo type="num" val="1"/>
      </iconSet>
    </cfRule>
  </conditionalFormatting>
  <conditionalFormatting sqref="AC38:AC41">
    <cfRule type="expression" priority="51" aboveAverage="0" equalAverage="0" bottom="0" percent="0" rank="0" text="" dxfId="38">
      <formula>IF(AND(VLOOKUP(AB38,$R$38:$AA$41,10,0)&gt;=0,VLOOKUP(AB38,$R$38:$AA$41,10,0)&lt;90),1,0)</formula>
    </cfRule>
  </conditionalFormatting>
  <conditionalFormatting sqref="AB36:AD37">
    <cfRule type="expression" priority="52" aboveAverage="0" equalAverage="0" bottom="0" percent="0" rank="0" text="" dxfId="39">
      <formula>$AA$37&gt;0</formula>
    </cfRule>
  </conditionalFormatting>
  <conditionalFormatting sqref="Q40:Q41">
    <cfRule type="expression" priority="53" aboveAverage="0" equalAverage="0" bottom="0" percent="0" rank="0" text="" dxfId="40">
      <formula>SUM($T$38:$T$41)=12</formula>
    </cfRule>
  </conditionalFormatting>
  <conditionalFormatting sqref="Z40:Z41">
    <cfRule type="expression" priority="54" aboveAverage="0" equalAverage="0" bottom="0" percent="0" rank="0" text="" dxfId="41">
      <formula>SUM($T$38:$T$41)=12</formula>
    </cfRule>
  </conditionalFormatting>
  <conditionalFormatting sqref="R40:Y41">
    <cfRule type="expression" priority="55" aboveAverage="0" equalAverage="0" bottom="0" percent="0" rank="0" text="" dxfId="42">
      <formula>SUM($T$38:$T$41)=12</formula>
    </cfRule>
  </conditionalFormatting>
  <conditionalFormatting sqref="AA38:AA41">
    <cfRule type="iconSet" priority="56">
      <iconSet iconSet="3Symbols2" showValue="0">
        <cfvo type="percent" val="0"/>
        <cfvo type="num" val="0"/>
        <cfvo type="num" val="90"/>
      </iconSet>
    </cfRule>
  </conditionalFormatting>
  <conditionalFormatting sqref="O36:O41">
    <cfRule type="iconSet" priority="57">
      <iconSet iconSet="3Symbols2" showValue="0">
        <cfvo type="percent" val="0"/>
        <cfvo type="num" val="0.5"/>
        <cfvo type="num" val="1"/>
      </iconSet>
    </cfRule>
  </conditionalFormatting>
  <conditionalFormatting sqref="AC46:AC49">
    <cfRule type="expression" priority="58" aboveAverage="0" equalAverage="0" bottom="0" percent="0" rank="0" text="" dxfId="43">
      <formula>IF(AND(VLOOKUP(AB46,$R$46:$AA$49,10,0)&gt;=0,VLOOKUP(AB46,$R$46:$AA$49,10,0)&lt;90),1,0)</formula>
    </cfRule>
  </conditionalFormatting>
  <conditionalFormatting sqref="AB44:AD45">
    <cfRule type="expression" priority="59" aboveAverage="0" equalAverage="0" bottom="0" percent="0" rank="0" text="" dxfId="44">
      <formula>$AA$45&gt;0</formula>
    </cfRule>
  </conditionalFormatting>
  <conditionalFormatting sqref="Q48:Q49">
    <cfRule type="expression" priority="60" aboveAverage="0" equalAverage="0" bottom="0" percent="0" rank="0" text="" dxfId="45">
      <formula>SUM($T$46:$T$49)=12</formula>
    </cfRule>
  </conditionalFormatting>
  <conditionalFormatting sqref="Z48:Z49">
    <cfRule type="expression" priority="61" aboveAverage="0" equalAverage="0" bottom="0" percent="0" rank="0" text="" dxfId="46">
      <formula>SUM($T$46:$T$49)=12</formula>
    </cfRule>
  </conditionalFormatting>
  <conditionalFormatting sqref="R48:Y49">
    <cfRule type="expression" priority="62" aboveAverage="0" equalAverage="0" bottom="0" percent="0" rank="0" text="" dxfId="47">
      <formula>SUM($T$46:$T$49)=12</formula>
    </cfRule>
  </conditionalFormatting>
  <conditionalFormatting sqref="AA46:AA49">
    <cfRule type="iconSet" priority="63">
      <iconSet iconSet="3Symbols2" showValue="0">
        <cfvo type="percent" val="0"/>
        <cfvo type="num" val="0"/>
        <cfvo type="num" val="90"/>
      </iconSet>
    </cfRule>
  </conditionalFormatting>
  <conditionalFormatting sqref="O44:O49">
    <cfRule type="iconSet" priority="64">
      <iconSet iconSet="3Symbols2" showValue="0">
        <cfvo type="percent" val="0"/>
        <cfvo type="num" val="0.5"/>
        <cfvo type="num" val="1"/>
      </iconSet>
    </cfRule>
  </conditionalFormatting>
  <conditionalFormatting sqref="J69">
    <cfRule type="expression" priority="65" aboveAverage="0" equalAverage="0" bottom="0" percent="0" rank="0" text="" dxfId="48">
      <formula>IF(COUNT($K69:$L69)=2,IF(AND($J69&lt;&gt;$M69,$K69=$L69,$J69&lt;&gt;"",$M69&lt;&gt;""),1=2,IF(AND($J69&lt;&gt;"",$K69=$L69),1=1,IF(AND($J69="",$K69=$L69),1=1,1=2))),1=2)</formula>
    </cfRule>
  </conditionalFormatting>
  <conditionalFormatting sqref="J72">
    <cfRule type="expression" priority="66" aboveAverage="0" equalAverage="0" bottom="0" percent="0" rank="0" text="" dxfId="49">
      <formula>IF(COUNT($K72:$L72)=2,IF(AND($J72&lt;&gt;$M72,$K72=$L72,$J72&lt;&gt;"",$M72&lt;&gt;""),1=2,IF(AND($J72&lt;&gt;"",$K72=$L72),1=1,IF(AND($J72="",$K72=$L72),1=1,1=2))),1=2)</formula>
    </cfRule>
  </conditionalFormatting>
  <conditionalFormatting sqref="J70">
    <cfRule type="expression" priority="67" aboveAverage="0" equalAverage="0" bottom="0" percent="0" rank="0" text="" dxfId="50">
      <formula>IF(COUNT($K70:$L70)=2,IF(AND($J70&lt;&gt;$M70,$K70=$L70,$J70&lt;&gt;"",$M70&lt;&gt;""),1=2,IF(AND($J70&lt;&gt;"",$K70=$L70),1=1,IF(AND($J70="",$K70=$L70),1=1,1=2))),1=2)</formula>
    </cfRule>
  </conditionalFormatting>
  <conditionalFormatting sqref="J71">
    <cfRule type="expression" priority="68" aboveAverage="0" equalAverage="0" bottom="0" percent="0" rank="0" text="" dxfId="51">
      <formula>IF(COUNT($K71:$L71)=2,IF(AND($J71&lt;&gt;$M71,$K71=$L71,$J71&lt;&gt;"",$M71&lt;&gt;""),1=2,IF(AND($J71&lt;&gt;"",$K71=$L71),1=1,IF(AND($J71="",$K71=$L71),1=1,1=2))),1=2)</formula>
    </cfRule>
  </conditionalFormatting>
  <conditionalFormatting sqref="J73">
    <cfRule type="expression" priority="69" aboveAverage="0" equalAverage="0" bottom="0" percent="0" rank="0" text="" dxfId="52">
      <formula>IF(COUNT($K73:$L73)=2,IF(AND($J73&lt;&gt;$M73,$K73=$L73,$J73&lt;&gt;"",$M73&lt;&gt;""),1=2,IF(AND($J73&lt;&gt;"",$K73=$L73),1=1,IF(AND($J73="",$K73=$L73),1=1,1=2))),1=2)</formula>
    </cfRule>
  </conditionalFormatting>
  <conditionalFormatting sqref="J76">
    <cfRule type="expression" priority="70" aboveAverage="0" equalAverage="0" bottom="0" percent="0" rank="0" text="" dxfId="53">
      <formula>IF(COUNT($K76:$L76)=2,IF(AND($J76&lt;&gt;$M76,$K76=$L76,$J76&lt;&gt;"",$M76&lt;&gt;""),1=2,IF(AND($J76&lt;&gt;"",$K76=$L76),1=1,IF(AND($J76="",$K76=$L76),1=1,1=2))),1=2)</formula>
    </cfRule>
  </conditionalFormatting>
  <conditionalFormatting sqref="J74">
    <cfRule type="expression" priority="71" aboveAverage="0" equalAverage="0" bottom="0" percent="0" rank="0" text="" dxfId="54">
      <formula>IF(COUNT($K74:$L74)=2,IF(AND($J74&lt;&gt;$M74,$K74=$L74,$J74&lt;&gt;"",$M74&lt;&gt;""),1=2,IF(AND($J74&lt;&gt;"",$K74=$L74),1=1,IF(AND($J74="",$K74=$L74),1=1,1=2))),1=2)</formula>
    </cfRule>
  </conditionalFormatting>
  <conditionalFormatting sqref="J75">
    <cfRule type="expression" priority="72" aboveAverage="0" equalAverage="0" bottom="0" percent="0" rank="0" text="" dxfId="55">
      <formula>IF(COUNT($K75:$L75)=2,IF(AND($J75&lt;&gt;$M75,$K75=$L75,$J75&lt;&gt;"",$M75&lt;&gt;""),1=2,IF(AND($J75&lt;&gt;"",$K75=$L75),1=1,IF(AND($J75="",$K75=$L75),1=1,1=2))),1=2)</formula>
    </cfRule>
  </conditionalFormatting>
  <conditionalFormatting sqref="M69">
    <cfRule type="expression" priority="73" aboveAverage="0" equalAverage="0" bottom="0" percent="0" rank="0" text="" dxfId="56">
      <formula>IF(COUNT($K69:$L69)=2,IF(AND($J69&lt;&gt;$M69,$K69=$L69,$J69&lt;&gt;"",$M69&lt;&gt;""),1=2,IF(AND($J69&lt;&gt;"",$K69=$L69),1=1,IF(AND($J69="",$K69=$L69),1=1,1=2))),1=2)</formula>
    </cfRule>
  </conditionalFormatting>
  <conditionalFormatting sqref="M72">
    <cfRule type="expression" priority="74" aboveAverage="0" equalAverage="0" bottom="0" percent="0" rank="0" text="" dxfId="57">
      <formula>IF(COUNT($K72:$L72)=2,IF(AND($J72&lt;&gt;$M72,$K72=$L72,$J72&lt;&gt;"",$M72&lt;&gt;""),1=2,IF(AND($J72&lt;&gt;"",$K72=$L72),1=1,IF(AND($J72="",$K72=$L72),1=1,1=2))),1=2)</formula>
    </cfRule>
  </conditionalFormatting>
  <conditionalFormatting sqref="M70">
    <cfRule type="expression" priority="75" aboveAverage="0" equalAverage="0" bottom="0" percent="0" rank="0" text="" dxfId="58">
      <formula>IF(COUNT($K70:$L70)=2,IF(AND($J70&lt;&gt;$M70,$K70=$L70,$J70&lt;&gt;"",$M70&lt;&gt;""),1=2,IF(AND($J70&lt;&gt;"",$K70=$L70),1=1,IF(AND($J70="",$K70=$L70),1=1,1=2))),1=2)</formula>
    </cfRule>
  </conditionalFormatting>
  <conditionalFormatting sqref="M71">
    <cfRule type="expression" priority="76" aboveAverage="0" equalAverage="0" bottom="0" percent="0" rank="0" text="" dxfId="59">
      <formula>IF(COUNT($K71:$L71)=2,IF(AND($J71&lt;&gt;$M71,$K71=$L71,$J71&lt;&gt;"",$M71&lt;&gt;""),1=2,IF(AND($J71&lt;&gt;"",$K71=$L71),1=1,IF(AND($J71="",$K71=$L71),1=1,1=2))),1=2)</formula>
    </cfRule>
  </conditionalFormatting>
  <conditionalFormatting sqref="M73">
    <cfRule type="expression" priority="77" aboveAverage="0" equalAverage="0" bottom="0" percent="0" rank="0" text="" dxfId="60">
      <formula>IF(COUNT($K73:$L73)=2,IF(AND($J73&lt;&gt;$M73,$K73=$L73,$J73&lt;&gt;"",$M73&lt;&gt;""),1=2,IF(AND($J73&lt;&gt;"",$K73=$L73),1=1,IF(AND($J73="",$K73=$L73),1=1,1=2))),1=2)</formula>
    </cfRule>
  </conditionalFormatting>
  <conditionalFormatting sqref="M76">
    <cfRule type="expression" priority="78" aboveAverage="0" equalAverage="0" bottom="0" percent="0" rank="0" text="" dxfId="61">
      <formula>IF(COUNT($K76:$L76)=2,IF(AND($J76&lt;&gt;$M76,$K76=$L76,$J76&lt;&gt;"",$M76&lt;&gt;""),1=2,IF(AND($J76&lt;&gt;"",$K76=$L76),1=1,IF(AND($J76="",$K76=$L76),1=1,1=2))),1=2)</formula>
    </cfRule>
  </conditionalFormatting>
  <conditionalFormatting sqref="M74">
    <cfRule type="expression" priority="79" aboveAverage="0" equalAverage="0" bottom="0" percent="0" rank="0" text="" dxfId="62">
      <formula>IF(COUNT($K74:$L74)=2,IF(AND($J74&lt;&gt;$M74,$K74=$L74,$J74&lt;&gt;"",$M74&lt;&gt;""),1=2,IF(AND($J74&lt;&gt;"",$K74=$L74),1=1,IF(AND($J74="",$K74=$L74),1=1,1=2))),1=2)</formula>
    </cfRule>
  </conditionalFormatting>
  <conditionalFormatting sqref="M75">
    <cfRule type="expression" priority="80" aboveAverage="0" equalAverage="0" bottom="0" percent="0" rank="0" text="" dxfId="63">
      <formula>IF(COUNT($K75:$L75)=2,IF(AND($J75&lt;&gt;$M75,$K75=$L75,$J75&lt;&gt;"",$M75&lt;&gt;""),1=2,IF(AND($J75&lt;&gt;"",$K75=$L75),1=1,IF(AND($J75="",$K75=$L75),1=1,1=2))),1=2)</formula>
    </cfRule>
  </conditionalFormatting>
  <conditionalFormatting sqref="K69:L69">
    <cfRule type="expression" priority="81" aboveAverage="0" equalAverage="0" bottom="0" percent="0" rank="0" text="" dxfId="64">
      <formula>K69=""</formula>
    </cfRule>
  </conditionalFormatting>
  <conditionalFormatting sqref="K70:L70">
    <cfRule type="expression" priority="82" aboveAverage="0" equalAverage="0" bottom="0" percent="0" rank="0" text="" dxfId="65">
      <formula>K70=""</formula>
    </cfRule>
  </conditionalFormatting>
  <conditionalFormatting sqref="K74:L74">
    <cfRule type="expression" priority="83" aboveAverage="0" equalAverage="0" bottom="0" percent="0" rank="0" text="" dxfId="66">
      <formula>K74=""</formula>
    </cfRule>
  </conditionalFormatting>
  <conditionalFormatting sqref="K75:L75">
    <cfRule type="expression" priority="84" aboveAverage="0" equalAverage="0" bottom="0" percent="0" rank="0" text="" dxfId="67">
      <formula>K75=""</formula>
    </cfRule>
  </conditionalFormatting>
  <conditionalFormatting sqref="K76:L76">
    <cfRule type="expression" priority="85" aboveAverage="0" equalAverage="0" bottom="0" percent="0" rank="0" text="" dxfId="68">
      <formula>K76=""</formula>
    </cfRule>
  </conditionalFormatting>
  <conditionalFormatting sqref="K71">
    <cfRule type="expression" priority="86" aboveAverage="0" equalAverage="0" bottom="0" percent="0" rank="0" text="" dxfId="69">
      <formula>K71=""</formula>
    </cfRule>
  </conditionalFormatting>
  <conditionalFormatting sqref="K72">
    <cfRule type="expression" priority="87" aboveAverage="0" equalAverage="0" bottom="0" percent="0" rank="0" text="" dxfId="70">
      <formula>K72=""</formula>
    </cfRule>
  </conditionalFormatting>
  <conditionalFormatting sqref="K73">
    <cfRule type="expression" priority="88" aboveAverage="0" equalAverage="0" bottom="0" percent="0" rank="0" text="" dxfId="71">
      <formula>K73=""</formula>
    </cfRule>
  </conditionalFormatting>
  <conditionalFormatting sqref="L71">
    <cfRule type="expression" priority="89" aboveAverage="0" equalAverage="0" bottom="0" percent="0" rank="0" text="" dxfId="72">
      <formula>L71=""</formula>
    </cfRule>
  </conditionalFormatting>
  <conditionalFormatting sqref="L72">
    <cfRule type="expression" priority="90" aboveAverage="0" equalAverage="0" bottom="0" percent="0" rank="0" text="" dxfId="73">
      <formula>L72=""</formula>
    </cfRule>
  </conditionalFormatting>
  <conditionalFormatting sqref="L73">
    <cfRule type="expression" priority="91" aboveAverage="0" equalAverage="0" bottom="0" percent="0" rank="0" text="" dxfId="74">
      <formula>L73=""</formula>
    </cfRule>
  </conditionalFormatting>
  <conditionalFormatting sqref="K28:L28">
    <cfRule type="expression" priority="92" aboveAverage="0" equalAverage="0" bottom="0" percent="0" rank="0" text="" dxfId="75">
      <formula>K28=""</formula>
    </cfRule>
  </conditionalFormatting>
  <conditionalFormatting sqref="K29:L33">
    <cfRule type="expression" priority="93" aboveAverage="0" equalAverage="0" bottom="0" percent="0" rank="0" text="" dxfId="76">
      <formula>K29=""</formula>
    </cfRule>
  </conditionalFormatting>
  <conditionalFormatting sqref="K36:L36">
    <cfRule type="expression" priority="94" aboveAverage="0" equalAverage="0" bottom="0" percent="0" rank="0" text="" dxfId="77">
      <formula>K36=""</formula>
    </cfRule>
  </conditionalFormatting>
  <conditionalFormatting sqref="K37:L41">
    <cfRule type="expression" priority="95" aboveAverage="0" equalAverage="0" bottom="0" percent="0" rank="0" text="" dxfId="78">
      <formula>K37=""</formula>
    </cfRule>
  </conditionalFormatting>
  <conditionalFormatting sqref="K44:L44">
    <cfRule type="expression" priority="96" aboveAverage="0" equalAverage="0" bottom="0" percent="0" rank="0" text="" dxfId="79">
      <formula>K44=""</formula>
    </cfRule>
  </conditionalFormatting>
  <conditionalFormatting sqref="K45:L49">
    <cfRule type="expression" priority="97" aboveAverage="0" equalAverage="0" bottom="0" percent="0" rank="0" text="" dxfId="80">
      <formula>K45=""</formula>
    </cfRule>
  </conditionalFormatting>
  <conditionalFormatting sqref="EM55:FG55 FO55:AMJ55">
    <cfRule type="expression" priority="98" aboveAverage="0" equalAverage="0" bottom="0" percent="0" rank="0" text="" dxfId="81">
      <formula>IF(EM$55=6,1,0)</formula>
    </cfRule>
  </conditionalFormatting>
  <conditionalFormatting sqref="O80:O83 O86:O87">
    <cfRule type="iconSet" priority="99">
      <iconSet iconSet="3Symbols2" showValue="0">
        <cfvo type="percent" val="0"/>
        <cfvo type="num" val="0.5"/>
        <cfvo type="num" val="1"/>
      </iconSet>
    </cfRule>
  </conditionalFormatting>
  <conditionalFormatting sqref="O69:O76">
    <cfRule type="iconSet" priority="100">
      <iconSet iconSet="3Symbols2" showValue="0">
        <cfvo type="percent" val="0"/>
        <cfvo type="num" val="0.5"/>
        <cfvo type="num" val="1"/>
      </iconSet>
    </cfRule>
  </conditionalFormatting>
  <conditionalFormatting sqref="O77">
    <cfRule type="iconSet" priority="101">
      <iconSet iconSet="3Symbols2" showValue="0">
        <cfvo type="percent" val="0"/>
        <cfvo type="num" val="0"/>
        <cfvo type="num" val="90"/>
      </iconSet>
    </cfRule>
  </conditionalFormatting>
  <conditionalFormatting sqref="AA22:AA25">
    <cfRule type="iconSet" priority="102">
      <iconSet iconSet="3Symbols2" showValue="0">
        <cfvo type="percent" val="0"/>
        <cfvo type="num" val="0"/>
        <cfvo type="num" val="90"/>
      </iconSet>
    </cfRule>
  </conditionalFormatting>
  <conditionalFormatting sqref="K4:L4">
    <cfRule type="expression" priority="103" aboveAverage="0" equalAverage="0" bottom="0" percent="0" rank="0" text="" dxfId="82">
      <formula>K4=""</formula>
    </cfRule>
  </conditionalFormatting>
  <conditionalFormatting sqref="K5:L9">
    <cfRule type="expression" priority="104" aboveAverage="0" equalAverage="0" bottom="0" percent="0" rank="0" text="" dxfId="83">
      <formula>K5=""</formula>
    </cfRule>
  </conditionalFormatting>
  <conditionalFormatting sqref="AC54:AC57">
    <cfRule type="expression" priority="105" aboveAverage="0" equalAverage="0" bottom="0" percent="0" rank="0" text="" dxfId="84">
      <formula>IF(AND(VLOOKUP(AB54,$R$54:$AA$57,10,0)&gt;=0,VLOOKUP(AB54,$R$54:$AA$57,10,0)&lt;90),1,0)</formula>
    </cfRule>
  </conditionalFormatting>
  <conditionalFormatting sqref="AB52:AD53">
    <cfRule type="expression" priority="106" aboveAverage="0" equalAverage="0" bottom="0" percent="0" rank="0" text="" dxfId="85">
      <formula>$AA$53&gt;0</formula>
    </cfRule>
  </conditionalFormatting>
  <conditionalFormatting sqref="Q56:Q57">
    <cfRule type="expression" priority="107" aboveAverage="0" equalAverage="0" bottom="0" percent="0" rank="0" text="" dxfId="86">
      <formula>SUM($T$54:$T$57)=12</formula>
    </cfRule>
  </conditionalFormatting>
  <conditionalFormatting sqref="Z56:Z57">
    <cfRule type="expression" priority="108" aboveAverage="0" equalAverage="0" bottom="0" percent="0" rank="0" text="" dxfId="87">
      <formula>SUM($T$54:$T$57)=12</formula>
    </cfRule>
  </conditionalFormatting>
  <conditionalFormatting sqref="R56:Y57">
    <cfRule type="expression" priority="109" aboveAverage="0" equalAverage="0" bottom="0" percent="0" rank="0" text="" dxfId="88">
      <formula>SUM($T$54:$T$57)=12</formula>
    </cfRule>
  </conditionalFormatting>
  <conditionalFormatting sqref="AA54:AA57">
    <cfRule type="iconSet" priority="110">
      <iconSet iconSet="3Symbols2" showValue="0">
        <cfvo type="percent" val="0"/>
        <cfvo type="num" val="0"/>
        <cfvo type="num" val="90"/>
      </iconSet>
    </cfRule>
  </conditionalFormatting>
  <conditionalFormatting sqref="O52:O57">
    <cfRule type="iconSet" priority="111">
      <iconSet iconSet="3Symbols2" showValue="0">
        <cfvo type="percent" val="0"/>
        <cfvo type="num" val="0.5"/>
        <cfvo type="num" val="1"/>
      </iconSet>
    </cfRule>
  </conditionalFormatting>
  <conditionalFormatting sqref="K52:L52">
    <cfRule type="expression" priority="112" aboveAverage="0" equalAverage="0" bottom="0" percent="0" rank="0" text="" dxfId="89">
      <formula>K52=""</formula>
    </cfRule>
  </conditionalFormatting>
  <conditionalFormatting sqref="K53:L57">
    <cfRule type="expression" priority="113" aboveAverage="0" equalAverage="0" bottom="0" percent="0" rank="0" text="" dxfId="90">
      <formula>K53=""</formula>
    </cfRule>
  </conditionalFormatting>
  <conditionalFormatting sqref="AC62:AC65">
    <cfRule type="expression" priority="114" aboveAverage="0" equalAverage="0" bottom="0" percent="0" rank="0" text="" dxfId="91">
      <formula>IF(AND(VLOOKUP(AB62,$R$62:$AA$65,10,0)&gt;=0,VLOOKUP(AB62,$R$62:$AA$65,10,0)&lt;90),1,0)</formula>
    </cfRule>
  </conditionalFormatting>
  <conditionalFormatting sqref="AB60:AD61">
    <cfRule type="expression" priority="115" aboveAverage="0" equalAverage="0" bottom="0" percent="0" rank="0" text="" dxfId="92">
      <formula>$AA$61&gt;0</formula>
    </cfRule>
  </conditionalFormatting>
  <conditionalFormatting sqref="Q64:Q65">
    <cfRule type="expression" priority="116" aboveAverage="0" equalAverage="0" bottom="0" percent="0" rank="0" text="" dxfId="93">
      <formula>SUM($T$62:$T$65)=12</formula>
    </cfRule>
  </conditionalFormatting>
  <conditionalFormatting sqref="Z64:Z65">
    <cfRule type="expression" priority="117" aboveAverage="0" equalAverage="0" bottom="0" percent="0" rank="0" text="" dxfId="94">
      <formula>SUM($T$62:$T$65)=12</formula>
    </cfRule>
  </conditionalFormatting>
  <conditionalFormatting sqref="R64:Y65">
    <cfRule type="expression" priority="118" aboveAverage="0" equalAverage="0" bottom="0" percent="0" rank="0" text="" dxfId="95">
      <formula>SUM($T$62:$T$65)=12</formula>
    </cfRule>
  </conditionalFormatting>
  <conditionalFormatting sqref="AA62:AA65">
    <cfRule type="iconSet" priority="119">
      <iconSet iconSet="3Symbols2" showValue="0">
        <cfvo type="percent" val="0"/>
        <cfvo type="num" val="0"/>
        <cfvo type="num" val="90"/>
      </iconSet>
    </cfRule>
  </conditionalFormatting>
  <conditionalFormatting sqref="O60:O65">
    <cfRule type="iconSet" priority="120">
      <iconSet iconSet="3Symbols2" showValue="0">
        <cfvo type="percent" val="0"/>
        <cfvo type="num" val="0.5"/>
        <cfvo type="num" val="1"/>
      </iconSet>
    </cfRule>
  </conditionalFormatting>
  <conditionalFormatting sqref="K60:L60">
    <cfRule type="expression" priority="121" aboveAverage="0" equalAverage="0" bottom="0" percent="0" rank="0" text="" dxfId="96">
      <formula>K60=""</formula>
    </cfRule>
  </conditionalFormatting>
  <conditionalFormatting sqref="K61:L65">
    <cfRule type="expression" priority="122" aboveAverage="0" equalAverage="0" bottom="0" percent="0" rank="0" text="" dxfId="97">
      <formula>K61=""</formula>
    </cfRule>
  </conditionalFormatting>
  <conditionalFormatting sqref="J93 M93">
    <cfRule type="expression" priority="123" aboveAverage="0" equalAverage="0" bottom="0" percent="0" rank="0" text="" dxfId="98">
      <formula>IF(COUNT($K93:$L93)=2,IF(AND($J93&lt;&gt;$M93,$K93=$L93,$J93&lt;&gt;"",$M93&lt;&gt;""),1=2,IF(AND($J93&lt;&gt;"",$K93=$L93),1=1,IF(AND($J93="",$K93=$L93),1=1,1=2))),1=2)</formula>
    </cfRule>
  </conditionalFormatting>
  <conditionalFormatting sqref="K93:L93">
    <cfRule type="expression" priority="124" aboveAverage="0" equalAverage="0" bottom="0" percent="0" rank="0" text="" dxfId="99">
      <formula>K93=""</formula>
    </cfRule>
  </conditionalFormatting>
  <conditionalFormatting sqref="O93">
    <cfRule type="iconSet" priority="125">
      <iconSet iconSet="3Symbols2" showValue="0">
        <cfvo type="percent" val="0"/>
        <cfvo type="num" val="0.5"/>
        <cfvo type="num" val="1"/>
      </iconSet>
    </cfRule>
  </conditionalFormatting>
  <conditionalFormatting sqref="O99">
    <cfRule type="iconSet" priority="126">
      <iconSet iconSet="3Symbols2" showValue="0">
        <cfvo type="percent" val="0"/>
        <cfvo type="num" val="0.5"/>
        <cfvo type="num" val="1"/>
      </iconSet>
    </cfRule>
  </conditionalFormatting>
  <conditionalFormatting sqref="O105:O107">
    <cfRule type="iconSet" priority="127">
      <iconSet iconSet="3Symbols2" showValue="0">
        <cfvo type="percent" val="0"/>
        <cfvo type="num" val="0.5"/>
        <cfvo type="num" val="1"/>
      </iconSet>
    </cfRule>
  </conditionalFormatting>
  <conditionalFormatting sqref="Z16:Z17">
    <cfRule type="expression" priority="128" aboveAverage="0" equalAverage="0" bottom="0" percent="0" rank="0" text="" dxfId="100">
      <formula>SUM($T$14:$T$17)=12</formula>
    </cfRule>
  </conditionalFormatting>
  <conditionalFormatting sqref="Q16:Q17">
    <cfRule type="expression" priority="129" aboveAverage="0" equalAverage="0" bottom="0" percent="0" rank="0" text="" dxfId="101">
      <formula>SUM($T$14:$T$17)=12</formula>
    </cfRule>
  </conditionalFormatting>
  <dataValidations count="37">
    <dataValidation allowBlank="true" error="Introduzca un número." operator="between" showDropDown="false" showErrorMessage="true" showInputMessage="true" sqref="J69:M76 J80:M83 J86:M87 J90:M90 J93:M93" type="whole">
      <formula1>0</formula1>
      <formula2>100</formula2>
    </dataValidation>
    <dataValidation allowBlank="true" error="Introduce un puesto que corresponda&#10;" operator="between" showDropDown="false" showErrorMessage="true" showInputMessage="true" sqref="AC6" type="list">
      <formula1>IF($CI$6=$CL$5,$EC$5:$EC$8,IF($CI$6=$CM$5,$ED$5:$ED$7,IF(OR($CI$6=$CN$5,$CI$6=$CO$5),$EE$5:$EE$6,$EI$5)))</formula1>
      <formula2>0</formula2>
    </dataValidation>
    <dataValidation allowBlank="true" operator="between" showDropDown="false" showErrorMessage="true" showInputMessage="true" sqref="AC7" type="list">
      <formula1>IF($CI$6=$CL$5,$EC$5:$EC$8,IF($CI$6=$CM$5,$ED$5:$ED$7,IF(OR($CI$6=$CN$5,$CI$6=$CO$5),$EE$5:$EE$6,IF($CI$6=$CP$5,$EF$5:$EF$7,(IF($CI$6=$CQ$5,$EH$5:$EH$6,$EJ$5))))))</formula1>
      <formula2>0</formula2>
    </dataValidation>
    <dataValidation allowBlank="true" operator="between" showDropDown="false" showErrorMessage="true" showInputMessage="true" sqref="AC8" type="list">
      <formula1>IF($CI$6=$CL$5,$EC$5:$EC$8,IF($CI$6=$CM$5,$ED$5:$ED$7,IF(OR($CI$6=$CN$5,$CI$6=$CR$5),$EG$5:$EG$6,IF($CI$6=$CP$5,$EF$5:$EF$7,(IF($CI$6=$CQ$5,$EH$5:$EH$6,$EK$5))))))</formula1>
      <formula2>0</formula2>
    </dataValidation>
    <dataValidation allowBlank="true" operator="between" showDropDown="false" showErrorMessage="true" showInputMessage="true" sqref="AC9" type="list">
      <formula1>IF($CI$6=$CL$5,$EC$5:$EC$8,IF(OR($CI$6=$CN$5,$CI$6=$CR$5),$EG$5:$EG$6,IF($CI$6=$CP$5,$EF$5:$EF$7,$EL$5)))</formula1>
      <formula2>0</formula2>
    </dataValidation>
    <dataValidation allowBlank="true" error="Introduzca un número" operator="between" showDropDown="false" showErrorMessage="true" showInputMessage="true" sqref="K4:L9 K12:L17 K20:L25 K28:L33 K36:L41 K44:L49 K52:L57 K60:L65" type="whole">
      <formula1>0</formula1>
      <formula2>100</formula2>
    </dataValidation>
    <dataValidation allowBlank="true" error="Introduce un puesto que corresponda&#10;" operator="between" showDropDown="false" showErrorMessage="true" showInputMessage="true" sqref="AC14" type="list">
      <formula1>IF($CI$14=$CL$13,$EC$13:$EC$16,IF($CI$14=$CM$13,$ED$13:$ED$15,IF(OR($CI$14=$CN$13,$CI$14=$CO$13),$EE$13:$EE$14,$EI$13)))</formula1>
      <formula2>0</formula2>
    </dataValidation>
    <dataValidation allowBlank="true" operator="between" showDropDown="false" showErrorMessage="true" showInputMessage="true" sqref="AC15" type="list">
      <formula1>IF($CI$14=$CL$13,$EC$13:$EC$16,IF($CI$14=$CM$13,$ED$13:$ED$15,IF(OR($CI$14=$CN$13,$CI$14=$CO$13),$EE$13:$EE$14,IF($CI$14=$CP$13,$EF$13:$EF$15,(IF($CI$14=$CQ$13,$EH$13:$EH$14,$EJ$13))))))</formula1>
      <formula2>0</formula2>
    </dataValidation>
    <dataValidation allowBlank="true" operator="between" showDropDown="false" showErrorMessage="true" showInputMessage="true" sqref="AC16" type="list">
      <formula1>IF($CI$14=$CL$13,$EC$13:$EC$16,IF($CI$14=$CM$13,$ED$13:$ED$15,IF(OR($CI$14=$CN$13,$CI$14=$CR$13),$EG$13:$EG$14,IF($CI$14=$CP$13,$EF$13:$EF$15,(IF($CI$14=$CQ$13,$EH$13:$EH$14,$EK$13))))))</formula1>
      <formula2>0</formula2>
    </dataValidation>
    <dataValidation allowBlank="true" operator="between" showDropDown="false" showErrorMessage="true" showInputMessage="true" sqref="AC17" type="list">
      <formula1>IF($CI$14=$CL$13,$EC$13:$EC$16,IF(OR($CI$14=$CN$13,$CI$14=$CR$13),$EG$13:$EG$14,IF($CI$14=$CP$13,$EF$13:$EF$15,$EL$13)))</formula1>
      <formula2>0</formula2>
    </dataValidation>
    <dataValidation allowBlank="true" error="Introduce un puesto que corresponda&#10;" operator="between" showDropDown="false" showErrorMessage="true" showInputMessage="true" sqref="AC22" type="list">
      <formula1>IF($CI$22=$CL$21,$EC$21:$EC$24,IF($CI$22=$CM$21,$ED$21:$ED$23,IF(OR($CI$22=$CN$21,$CI$22=$CO$21),$EE$21:$EE$22,$EI$21)))</formula1>
      <formula2>0</formula2>
    </dataValidation>
    <dataValidation allowBlank="true" operator="between" showDropDown="false" showErrorMessage="true" showInputMessage="true" sqref="AC23" type="list">
      <formula1>IF($CI$22=$CL$21,$EC$21:$EC$24,IF($CI$22=$CM$21,$ED$21:$ED$23,IF(OR($CI$22=$CN$21,$CI$22=$CO$21),$EE$21:$EE$22,IF($CI$22=$CP$21,$EF$21:$EF$23,(IF($CI$22=$CQ$21,$EH$21:$EH$22,$EJ$21))))))</formula1>
      <formula2>0</formula2>
    </dataValidation>
    <dataValidation allowBlank="true" operator="between" showDropDown="false" showErrorMessage="true" showInputMessage="true" sqref="AC24" type="list">
      <formula1>IF($CI$22=$CL$21,$EC$21:$EC$24,IF($CI$22=$CM$21,$ED$21:$ED$23,IF(OR($CI$22=$CN$21,$CI$22=$CR$21),$EG$21:$EG$22,IF($CI$22=$CP$21,$EF$21:$EF$23,(IF($CI$22=$CQ$21,$EH$21:$EH$22,$EK$21))))))</formula1>
      <formula2>0</formula2>
    </dataValidation>
    <dataValidation allowBlank="true" operator="between" showDropDown="false" showErrorMessage="true" showInputMessage="true" sqref="AC25" type="list">
      <formula1>IF($CI$22=$CL$21,$EC$21:$EC$24,IF(OR($CI$22=$CN$21,$CI$22=$CR$21),$EG$21:$EG$22,IF($CI$22=$CP$21,$EF$21:$EF$23,$EL$21)))</formula1>
      <formula2>0</formula2>
    </dataValidation>
    <dataValidation allowBlank="true" error="Introduce un puesto que corresponda&#10;" operator="between" showDropDown="false" showErrorMessage="true" showInputMessage="true" sqref="AC30" type="list">
      <formula1>IF($CI$30=$CL$29,$EC$29:$EC$32,IF($CI$30=$CM$29,$ED$29:$ED$31,IF(OR($CI$30=$CN$29,$CI$30=$CO$29),$EE$29:$EE$30,$EI$29)))</formula1>
      <formula2>0</formula2>
    </dataValidation>
    <dataValidation allowBlank="true" operator="between" showDropDown="false" showErrorMessage="true" showInputMessage="true" sqref="AC31" type="list">
      <formula1>IF($CI$30=$CL$29,$EC$29:$EC$32,IF($CI$30=$CM$29,$ED$29:$ED$31,IF(OR($CI$30=$CN$29,$CI$30=$CO$29),$EE$29:$EE$30,IF($CI$30=$CP$29,$EF$29:$EF$31,(IF($CI$30=$CQ$29,$EH$29:$EH$30,$EJ$29))))))</formula1>
      <formula2>0</formula2>
    </dataValidation>
    <dataValidation allowBlank="true" operator="between" showDropDown="false" showErrorMessage="true" showInputMessage="true" sqref="AC32" type="list">
      <formula1>IF($CI$30=$CL$29,$EC$29:$EC$32,IF($CI$30=$CM$29,$ED$29:$ED$31,IF(OR($CI$30=$CN$29,$CI$30=$CR$29),$EG$29:$EG$30,IF($CI$30=$CP$29,$EF$29:$EF$31,(IF($CI$30=$CQ$29,$EH$29:$EH$30,$EK$29))))))</formula1>
      <formula2>0</formula2>
    </dataValidation>
    <dataValidation allowBlank="true" operator="between" showDropDown="false" showErrorMessage="true" showInputMessage="true" sqref="AC33" type="list">
      <formula1>IF($CI$30=$CL$29,$EC$29:$EC$32,IF(OR($CI$30=$CN$29,$CI$30=$CR$29),$EG$29:$EG$30,IF($CI$30=$CP$29,$EF$29:$EF$31,$EL$29)))</formula1>
      <formula2>0</formula2>
    </dataValidation>
    <dataValidation allowBlank="true" error="Introduce un puesto que corresponda&#10;" operator="between" showDropDown="false" showErrorMessage="true" showInputMessage="true" sqref="AC38" type="list">
      <formula1>IF($CI$38=$CL$37,$EC$37:$EC$40,IF($CI$38=$CM$37,$ED$37:$ED$39,IF(OR($CI$38=$CN$37,$CI$38=$CO$37),$EE$37:$EE$38,$EI$37)))</formula1>
      <formula2>0</formula2>
    </dataValidation>
    <dataValidation allowBlank="true" operator="between" showDropDown="false" showErrorMessage="true" showInputMessage="true" sqref="AC39" type="list">
      <formula1>IF($CI$38=$CL$37,$EC$37:$EC$40,IF($CI$38=$CM$37,$ED$37:$ED$39,IF(OR($CI$38=$CN$37,$CI$38=$CO$37),$EE$37:$EE$38,IF($CI$38=$CP$37,$EF$37:$EF$39,(IF($CI$38=$CQ$37,$EH$37:$EH$38,$EJ$37))))))</formula1>
      <formula2>0</formula2>
    </dataValidation>
    <dataValidation allowBlank="true" operator="between" showDropDown="false" showErrorMessage="true" showInputMessage="true" sqref="AC40" type="list">
      <formula1>IF($CI$38=$CL$37,$EC$37:$EC$40,IF($CI$38=$CM$37,$ED$37:$ED$39,IF(OR($CI$38=$CN$37,$CI$38=$CR$37),$EG$37:$EG$38,IF($CI$38=$CP$37,$EF$37:$EF$39,(IF($CI$38=$CQ$37,$EH$37:$EH$38,$EK$37))))))</formula1>
      <formula2>0</formula2>
    </dataValidation>
    <dataValidation allowBlank="true" operator="between" showDropDown="false" showErrorMessage="true" showInputMessage="true" sqref="AC41" type="list">
      <formula1>IF($CI$38=$CL$37,$EC$37:$EC$40,IF(OR($CI$38=$CN$37,$CI$38=$CR$37),$EG$37:$EG$38,IF($CI$38=$CP$37,$EF$37:$EF$39,$EL$37)))</formula1>
      <formula2>0</formula2>
    </dataValidation>
    <dataValidation allowBlank="true" error="Introduce un puesto que corresponda&#10;" operator="between" showDropDown="false" showErrorMessage="true" showInputMessage="true" sqref="AC46" type="list">
      <formula1>IF($CI$46=$CL$45,$EC$45:$EC$48,IF($CI$46=$CM$45,$ED$45:$ED$47,IF(OR($CI$46=$CN$45,$CI$46=$CO$45),$EE$45:$EE$46,$EI$45)))</formula1>
      <formula2>0</formula2>
    </dataValidation>
    <dataValidation allowBlank="true" operator="between" showDropDown="false" showErrorMessage="true" showInputMessage="true" sqref="AC47" type="list">
      <formula1>IF($CI$46=$CL$45,$EC$45:$EC$48,IF($CI$46=$CM$45,$ED$45:$ED$47,IF(OR($CI$46=$CN$45,$CI$46=$CO$45),$EE$45:$EE$46,IF($CI$46=$CP$45,$EF$45:$EF$47,(IF($CI$46=$CQ$45,$EH$45:$EH$46,$EJ$45))))))</formula1>
      <formula2>0</formula2>
    </dataValidation>
    <dataValidation allowBlank="true" operator="between" showDropDown="false" showErrorMessage="true" showInputMessage="true" sqref="AC48" type="list">
      <formula1>IF($CI$46=$CL$45,$EC$45:$EC$48,IF($CI$46=$CM$45,$ED$45:$ED$47,IF(OR($CI$46=$CN$45,$CI$46=$CR$45),$EG$45:$EG$46,IF($CI$46=$CP$45,$EF$45:$EF$47,(IF($CI$46=$CQ$45,$EH$45:$EH$46,$EK$45))))))</formula1>
      <formula2>0</formula2>
    </dataValidation>
    <dataValidation allowBlank="true" operator="between" showDropDown="false" showErrorMessage="true" showInputMessage="true" sqref="AC49" type="list">
      <formula1>IF($CI$46=$CL$45,$EC$45:$EC$48,IF(OR($CI$46=$CN$45,$CI$46=$CR$45),$EG$45:$EG$46,IF($CI$46=$CP$45,$EF$45:$EF$47,$EL$45)))</formula1>
      <formula2>0</formula2>
    </dataValidation>
    <dataValidation allowBlank="true" error="Introduce un puesto que corresponda&#10;" operator="between" showDropDown="false" showErrorMessage="true" showInputMessage="true" sqref="AC54" type="list">
      <formula1>IF($CI$54=$CL$53,$EC$53:$EC$56,IF($CI$54=$CM$53,$ED$53:$ED$55,IF(OR($CI$54=$CN$53,$CI$54=$CO$53),$EE$53:$EE$54,$EI$53)))</formula1>
      <formula2>0</formula2>
    </dataValidation>
    <dataValidation allowBlank="true" operator="between" showDropDown="false" showErrorMessage="true" showInputMessage="true" sqref="AC55" type="list">
      <formula1>IF($CI$54=$CL$53,$EC$53:$EC$56,IF($CI$54=$CM$53,$ED$53:$ED$55,IF(OR($CI$54=$CN$53,$CI$54=$CO$53),$EE$53:$EE$54,IF($CI$54=$CP$53,$EF$53:$EF$55,(IF($CI$54=$CQ$53,$EH$53:$EH$54,$EJ$53))))))</formula1>
      <formula2>0</formula2>
    </dataValidation>
    <dataValidation allowBlank="true" operator="between" showDropDown="false" showErrorMessage="true" showInputMessage="true" sqref="AC56" type="list">
      <formula1>IF($CI$54=$CL$53,$EC$53:$EC$56,IF($CI$54=$CM$53,$ED$53:$ED$55,IF(OR($CI$54=$CN$53,$CI$54=$CR$53),$EG$53:$EG$54,IF($CI$54=$CP$53,$EF$53:$EF$55,(IF($CI$54=$CQ$53,$EH$53:$EH$54,$EK$53))))))</formula1>
      <formula2>0</formula2>
    </dataValidation>
    <dataValidation allowBlank="true" operator="between" showDropDown="false" showErrorMessage="true" showInputMessage="true" sqref="AC57" type="list">
      <formula1>IF($CI$54=$CL$53,$EC$53:$EC$56,IF(OR($CI$54=$CN$53,$CI$54=$CR$53),$EG$53:$EG$54,IF($CI$54=$CP$53,$EF$53:$EF$55,$EL$53)))</formula1>
      <formula2>0</formula2>
    </dataValidation>
    <dataValidation allowBlank="true" error="Introduce un puesto que corresponda&#10;" operator="between" showDropDown="false" showErrorMessage="true" showInputMessage="true" sqref="AC62" type="list">
      <formula1>IF($CI$62=$CL$61,$EC$61:$EC$64,IF($CI$62=$CM$61,$ED$61:$ED$63,IF(OR($CI$62=$CN$61,$CI$62=$CO$61),$EE$61:$EE$62,$EI$61)))</formula1>
      <formula2>0</formula2>
    </dataValidation>
    <dataValidation allowBlank="true" operator="between" showDropDown="false" showErrorMessage="true" showInputMessage="true" sqref="AC63" type="list">
      <formula1>IF($CI$62=$CL$61,$EC$61:$EC$64,IF($CI$62=$CM$61,$ED$61:$ED$63,IF(OR($CI$62=$CN$61,$CI$62=$CO$61),$EE$61:$EE$62,IF($CI$62=$CP$61,$EF$61:$EF$63,(IF($CI$62=$CQ$61,$EH$61:$EH$62,$EJ$61))))))</formula1>
      <formula2>0</formula2>
    </dataValidation>
    <dataValidation allowBlank="true" operator="between" showDropDown="false" showErrorMessage="true" showInputMessage="true" sqref="AC64" type="list">
      <formula1>IF($CI$62=$CL$61,$EC$61:$EC$64,IF($CI$62=$CM$61,$ED$61:$ED$63,IF(OR($CI$62=$CN$61,$CI$62=$CR$61),$EG$61:$EG$62,IF($CI$62=$CP$61,$EF$61:$EF$63,(IF($CI$62=$CQ$61,$EH$61:$EH$62,$EK$61))))))</formula1>
      <formula2>0</formula2>
    </dataValidation>
    <dataValidation allowBlank="true" operator="between" showDropDown="false" showErrorMessage="true" showInputMessage="true" sqref="AC65" type="list">
      <formula1>IF($CI$62=$CL$61,$EC$61:$EC$64,IF(OR($CI$62=$CN$61,$CI$62=$CR$61),$EG$61:$EG$62,IF($CI$62=$CP$61,$EF$61:$EF$63,$EL$61)))</formula1>
      <formula2>0</formula2>
    </dataValidation>
    <dataValidation allowBlank="true" operator="between" showDropDown="false" showErrorMessage="true" showInputMessage="true" sqref="B4 B12 B20 B28 B36 B44" type="list">
      <formula1>Equipos!$F$2:$F$7</formula1>
      <formula2>0</formula2>
    </dataValidation>
    <dataValidation allowBlank="true" operator="between" showDropDown="false" showErrorMessage="true" showInputMessage="true" sqref="G1:H1" type="list">
      <formula1>Horarios!$L$4:$L$60</formula1>
      <formula2>0</formula2>
    </dataValidation>
    <dataValidation allowBlank="true" operator="between" showDropDown="false" showErrorMessage="true" showInputMessage="true" sqref="B52 B60" type="list">
      <formula1>Equipos!$F$2:$F$9</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A1:P166"/>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C110" activeCellId="0" sqref="C110"/>
    </sheetView>
  </sheetViews>
  <sheetFormatPr defaultColWidth="10.72265625" defaultRowHeight="15" zeroHeight="false" outlineLevelRow="0" outlineLevelCol="0"/>
  <cols>
    <col collapsed="false" customWidth="true" hidden="false" outlineLevel="0" max="2" min="2" style="0" width="29.42"/>
    <col collapsed="false" customWidth="true" hidden="false" outlineLevel="0" max="3" min="3" style="0" width="35"/>
    <col collapsed="false" customWidth="true" hidden="false" outlineLevel="0" max="4" min="4" style="0" width="12.71"/>
    <col collapsed="false" customWidth="true" hidden="false" outlineLevel="0" max="9" min="9" style="0" width="3.14"/>
    <col collapsed="false" customWidth="true" hidden="false" outlineLevel="0" max="13" min="13" style="0" width="3.71"/>
    <col collapsed="false" customWidth="true" hidden="false" outlineLevel="0" max="14" min="14" style="0" width="4.71"/>
    <col collapsed="false" customWidth="true" hidden="false" outlineLevel="0" max="15" min="15" style="0" width="3.99"/>
    <col collapsed="false" customWidth="true" hidden="false" outlineLevel="0" max="16" min="16" style="0" width="4.71"/>
    <col collapsed="false" customWidth="false" hidden="true" outlineLevel="0" max="1025" min="17" style="1" width="10.71"/>
  </cols>
  <sheetData>
    <row r="1" customFormat="false" ht="15" hidden="false" customHeight="false" outlineLevel="0" collapsed="false">
      <c r="B1" s="474"/>
      <c r="C1" s="478" t="s">
        <v>110</v>
      </c>
      <c r="D1" s="474"/>
      <c r="E1" s="479" t="s">
        <v>111</v>
      </c>
      <c r="F1" s="479"/>
      <c r="G1" s="479"/>
      <c r="H1" s="479"/>
      <c r="I1" s="479"/>
      <c r="J1" s="479"/>
      <c r="K1" s="479"/>
      <c r="L1" s="479"/>
      <c r="M1" s="479"/>
      <c r="N1" s="479"/>
    </row>
    <row r="2" customFormat="false" ht="19.5" hidden="false" customHeight="false" outlineLevel="0" collapsed="false">
      <c r="B2" s="480" t="s">
        <v>112</v>
      </c>
      <c r="C2" s="474"/>
      <c r="D2" s="474"/>
      <c r="E2" s="479"/>
      <c r="F2" s="479"/>
      <c r="G2" s="479"/>
      <c r="H2" s="479"/>
      <c r="I2" s="479"/>
      <c r="J2" s="479"/>
      <c r="K2" s="479"/>
      <c r="L2" s="479"/>
      <c r="M2" s="479"/>
      <c r="N2" s="479"/>
    </row>
    <row r="3" customFormat="false" ht="25.9" hidden="false" customHeight="true" outlineLevel="0" collapsed="false">
      <c r="B3" s="474" t="s">
        <v>113</v>
      </c>
      <c r="C3" s="481" t="str">
        <f aca="false">MUNDIAL!I109</f>
        <v>Christian</v>
      </c>
      <c r="D3" s="474"/>
      <c r="E3" s="482" t="s">
        <v>114</v>
      </c>
      <c r="F3" s="482"/>
      <c r="G3" s="482"/>
      <c r="H3" s="482"/>
      <c r="I3" s="482"/>
      <c r="J3" s="482"/>
      <c r="K3" s="482"/>
      <c r="L3" s="482"/>
      <c r="M3" s="482"/>
      <c r="N3" s="482"/>
    </row>
    <row r="4" customFormat="false" ht="45" hidden="false" customHeight="true" outlineLevel="0" collapsed="false">
      <c r="B4" s="474"/>
      <c r="C4" s="483" t="s">
        <v>115</v>
      </c>
      <c r="D4" s="474"/>
      <c r="E4" s="484" t="s">
        <v>116</v>
      </c>
      <c r="F4" s="484"/>
      <c r="G4" s="484"/>
      <c r="H4" s="484"/>
      <c r="I4" s="484"/>
      <c r="J4" s="484"/>
      <c r="K4" s="484"/>
      <c r="L4" s="484"/>
      <c r="M4" s="484"/>
      <c r="N4" s="485"/>
    </row>
    <row r="5" customFormat="false" ht="19.15" hidden="false" customHeight="true" outlineLevel="0" collapsed="false">
      <c r="B5" s="480" t="s">
        <v>117</v>
      </c>
      <c r="E5" s="486" t="s">
        <v>118</v>
      </c>
      <c r="F5" s="486"/>
      <c r="G5" s="486"/>
      <c r="H5" s="486"/>
      <c r="I5" s="486"/>
      <c r="J5" s="487"/>
      <c r="K5" s="487"/>
      <c r="L5" s="487"/>
      <c r="M5" s="488"/>
      <c r="N5" s="485"/>
    </row>
    <row r="6" s="1" customFormat="true" ht="15" hidden="false" customHeight="true" outlineLevel="0" collapsed="false">
      <c r="A6" s="489" t="s">
        <v>119</v>
      </c>
      <c r="B6" s="0" t="str">
        <f aca="false">CONCATENATE(MUNDIAL!I4,"-",MUNDIAL!N4)</f>
        <v>Senegal-Paises Bajos</v>
      </c>
      <c r="C6" s="490" t="str">
        <f aca="false">CONCATENATE(IF(MUNDIAL!K4&gt;MUNDIAL!L4,1,IF(MUNDIAL!K4&lt;MUNDIAL!L4,2,IF(AND(MUNDIAL!K4=MUNDIAL!L4,MUNDIAL!K4&lt;&gt;"",MUNDIAL!L4&lt;&gt;""),"X",0))),"|",MUNDIAL!K4,"-",MUNDIAL!L4)</f>
        <v>2|0-2</v>
      </c>
      <c r="D6" s="491" t="s">
        <v>31</v>
      </c>
      <c r="E6" s="492" t="s">
        <v>120</v>
      </c>
      <c r="F6" s="492"/>
      <c r="G6" s="492"/>
      <c r="H6" s="492"/>
      <c r="I6" s="493"/>
      <c r="M6" s="488"/>
      <c r="N6" s="485"/>
      <c r="O6" s="0"/>
      <c r="P6" s="0"/>
    </row>
    <row r="7" s="1" customFormat="true" ht="15" hidden="false" customHeight="true" outlineLevel="0" collapsed="false">
      <c r="A7" s="489" t="s">
        <v>119</v>
      </c>
      <c r="B7" s="0" t="str">
        <f aca="false">CONCATENATE(MUNDIAL!I5,"-",MUNDIAL!N5)</f>
        <v>Catar-Ecuador</v>
      </c>
      <c r="C7" s="490" t="str">
        <f aca="false">CONCATENATE(IF(MUNDIAL!K5&gt;MUNDIAL!L5,1,IF(MUNDIAL!K5&lt;MUNDIAL!L5,2,IF(AND(MUNDIAL!K5=MUNDIAL!L5,MUNDIAL!K5&lt;&gt;"",MUNDIAL!L5&lt;&gt;""),"X",0))),"|",MUNDIAL!K5,"-",MUNDIAL!L5)</f>
        <v>2|0-2</v>
      </c>
      <c r="D7" s="491"/>
      <c r="E7" s="492"/>
      <c r="F7" s="492"/>
      <c r="G7" s="492"/>
      <c r="H7" s="492"/>
      <c r="I7" s="494"/>
      <c r="M7" s="488"/>
      <c r="N7" s="485"/>
      <c r="O7" s="0"/>
      <c r="P7" s="0"/>
    </row>
    <row r="8" s="1" customFormat="true" ht="15" hidden="false" customHeight="true" outlineLevel="0" collapsed="false">
      <c r="A8" s="495" t="s">
        <v>121</v>
      </c>
      <c r="B8" s="0" t="str">
        <f aca="false">CONCATENATE(MUNDIAL!I12,"-",MUNDIAL!N12)</f>
        <v>Inglaterra-Irán</v>
      </c>
      <c r="C8" s="490" t="str">
        <f aca="false">CONCATENATE(IF(MUNDIAL!K12&gt;MUNDIAL!L12,1,IF(MUNDIAL!K12&lt;MUNDIAL!L12,2,IF(AND(MUNDIAL!K12=MUNDIAL!L12,MUNDIAL!K12&lt;&gt;"",MUNDIAL!L12&lt;&gt;""),"X",0))),"|",MUNDIAL!K12,"-",MUNDIAL!L12)</f>
        <v>1|6-2</v>
      </c>
      <c r="D8" s="491"/>
      <c r="E8" s="492"/>
      <c r="F8" s="492"/>
      <c r="G8" s="492"/>
      <c r="H8" s="492"/>
      <c r="I8" s="494"/>
      <c r="M8" s="488"/>
      <c r="N8" s="485"/>
      <c r="O8" s="0"/>
      <c r="P8" s="0"/>
    </row>
    <row r="9" s="1" customFormat="true" ht="15" hidden="false" customHeight="true" outlineLevel="0" collapsed="false">
      <c r="A9" s="495" t="s">
        <v>121</v>
      </c>
      <c r="B9" s="0" t="str">
        <f aca="false">CONCATENATE(MUNDIAL!I13,"-",MUNDIAL!N13)</f>
        <v>Estados unidos-Gales</v>
      </c>
      <c r="C9" s="490" t="str">
        <f aca="false">CONCATENATE(IF(MUNDIAL!K13&gt;MUNDIAL!L13,1,IF(MUNDIAL!K13&lt;MUNDIAL!L13,2,IF(AND(MUNDIAL!K13=MUNDIAL!L13,MUNDIAL!K13&lt;&gt;"",MUNDIAL!L13&lt;&gt;""),"X",0))),"|",MUNDIAL!K13,"-",MUNDIAL!L13)</f>
        <v>X|1-1</v>
      </c>
      <c r="D9" s="491"/>
      <c r="E9" s="492"/>
      <c r="F9" s="492"/>
      <c r="G9" s="492"/>
      <c r="H9" s="492"/>
      <c r="I9" s="494"/>
      <c r="M9" s="488"/>
      <c r="N9" s="485"/>
      <c r="O9" s="0"/>
      <c r="P9" s="0"/>
    </row>
    <row r="10" s="1" customFormat="true" ht="15" hidden="false" customHeight="true" outlineLevel="0" collapsed="false">
      <c r="A10" s="496" t="s">
        <v>122</v>
      </c>
      <c r="B10" s="0" t="str">
        <f aca="false">CONCATENATE(MUNDIAL!I20,"-",MUNDIAL!N20)</f>
        <v>Argentina-Arabia Saudita</v>
      </c>
      <c r="C10" s="490" t="str">
        <f aca="false">CONCATENATE(IF(MUNDIAL!K20&gt;MUNDIAL!L20,1,IF(MUNDIAL!K20&lt;MUNDIAL!L20,2,IF(AND(MUNDIAL!K20=MUNDIAL!L20,MUNDIAL!K20&lt;&gt;"",MUNDIAL!L20&lt;&gt;""),"X",0))),"|",MUNDIAL!K20,"-",MUNDIAL!L20)</f>
        <v>2|1-2</v>
      </c>
      <c r="D10" s="491"/>
      <c r="I10" s="494"/>
      <c r="M10" s="488"/>
      <c r="N10" s="485"/>
      <c r="O10" s="0"/>
      <c r="P10" s="0"/>
    </row>
    <row r="11" s="1" customFormat="true" ht="16.15" hidden="false" customHeight="true" outlineLevel="0" collapsed="false">
      <c r="A11" s="496" t="s">
        <v>122</v>
      </c>
      <c r="B11" s="0" t="str">
        <f aca="false">CONCATENATE(MUNDIAL!I21,"-",MUNDIAL!N21)</f>
        <v>México-Polonia</v>
      </c>
      <c r="C11" s="490" t="str">
        <f aca="false">CONCATENATE(IF(MUNDIAL!K21&gt;MUNDIAL!L21,1,IF(MUNDIAL!K21&lt;MUNDIAL!L21,2,IF(AND(MUNDIAL!K21=MUNDIAL!L21,MUNDIAL!K21&lt;&gt;"",MUNDIAL!L21&lt;&gt;""),"X",0))),"|",MUNDIAL!K21,"-",MUNDIAL!L21)</f>
        <v>X|0-0</v>
      </c>
      <c r="D11" s="491"/>
      <c r="I11" s="494"/>
      <c r="M11" s="488"/>
      <c r="N11" s="485"/>
      <c r="O11" s="0"/>
      <c r="P11" s="0"/>
    </row>
    <row r="12" s="1" customFormat="true" ht="15" hidden="false" customHeight="true" outlineLevel="0" collapsed="false">
      <c r="A12" s="200" t="s">
        <v>123</v>
      </c>
      <c r="B12" s="0" t="str">
        <f aca="false">CONCATENATE(MUNDIAL!I28,"-",MUNDIAL!N28)</f>
        <v>Dinamarca-Túnez</v>
      </c>
      <c r="C12" s="490" t="str">
        <f aca="false">CONCATENATE(IF(MUNDIAL!K28&gt;MUNDIAL!L28,1,IF(MUNDIAL!K28&lt;MUNDIAL!L28,2,IF(AND(MUNDIAL!K28=MUNDIAL!L28,MUNDIAL!K28&lt;&gt;"",MUNDIAL!L28&lt;&gt;""),"X",0))),"|",MUNDIAL!K28,"-",MUNDIAL!L28)</f>
        <v>X|0-0</v>
      </c>
      <c r="D12" s="491"/>
      <c r="I12" s="494"/>
      <c r="M12" s="488"/>
      <c r="N12" s="485"/>
      <c r="O12" s="0"/>
      <c r="P12" s="0"/>
    </row>
    <row r="13" s="1" customFormat="true" ht="15" hidden="false" customHeight="true" outlineLevel="0" collapsed="false">
      <c r="A13" s="200" t="s">
        <v>123</v>
      </c>
      <c r="B13" s="0" t="str">
        <f aca="false">CONCATENATE(MUNDIAL!I29,"-",MUNDIAL!N29)</f>
        <v>Francia-Australia</v>
      </c>
      <c r="C13" s="490" t="str">
        <f aca="false">CONCATENATE(IF(MUNDIAL!K29&gt;MUNDIAL!L29,1,IF(MUNDIAL!K29&lt;MUNDIAL!L29,2,IF(AND(MUNDIAL!K29=MUNDIAL!L29,MUNDIAL!K29&lt;&gt;"",MUNDIAL!L29&lt;&gt;""),"X",0))),"|",MUNDIAL!K29,"-",MUNDIAL!L29)</f>
        <v>1|4-1</v>
      </c>
      <c r="D13" s="491"/>
      <c r="I13" s="494"/>
      <c r="M13" s="488"/>
      <c r="N13" s="485"/>
      <c r="O13" s="0"/>
      <c r="P13" s="0"/>
    </row>
    <row r="14" s="1" customFormat="true" ht="15" hidden="false" customHeight="true" outlineLevel="0" collapsed="false">
      <c r="A14" s="237" t="s">
        <v>124</v>
      </c>
      <c r="B14" s="0" t="str">
        <f aca="false">CONCATENATE(MUNDIAL!I36,"-",MUNDIAL!N36)</f>
        <v>Alemania-Japón</v>
      </c>
      <c r="C14" s="490" t="str">
        <f aca="false">CONCATENATE(IF(MUNDIAL!K36&gt;MUNDIAL!L36,1,IF(MUNDIAL!K36&lt;MUNDIAL!L36,2,IF(AND(MUNDIAL!K36=MUNDIAL!L36,MUNDIAL!K36&lt;&gt;"",MUNDIAL!L36&lt;&gt;""),"X",0))),"|",MUNDIAL!K36,"-",MUNDIAL!L36)</f>
        <v>2|1-2</v>
      </c>
      <c r="D14" s="491"/>
      <c r="I14" s="494"/>
      <c r="M14" s="488"/>
      <c r="N14" s="485"/>
      <c r="O14" s="0"/>
      <c r="P14" s="0"/>
    </row>
    <row r="15" s="1" customFormat="true" ht="15" hidden="false" customHeight="true" outlineLevel="0" collapsed="false">
      <c r="A15" s="237" t="s">
        <v>124</v>
      </c>
      <c r="B15" s="0" t="str">
        <f aca="false">CONCATENATE(MUNDIAL!I37,"-",MUNDIAL!N37)</f>
        <v>España-Costa Rica</v>
      </c>
      <c r="C15" s="490" t="str">
        <f aca="false">CONCATENATE(IF(MUNDIAL!K37&gt;MUNDIAL!L37,1,IF(MUNDIAL!K37&lt;MUNDIAL!L37,2,IF(AND(MUNDIAL!K37=MUNDIAL!L37,MUNDIAL!K37&lt;&gt;"",MUNDIAL!L37&lt;&gt;""),"X",0))),"|",MUNDIAL!K37,"-",MUNDIAL!L37)</f>
        <v>1|7-0</v>
      </c>
      <c r="D15" s="491"/>
      <c r="I15" s="494"/>
      <c r="M15" s="488"/>
      <c r="N15" s="485"/>
      <c r="O15" s="0"/>
      <c r="P15" s="0"/>
    </row>
    <row r="16" s="1" customFormat="true" ht="15" hidden="false" customHeight="true" outlineLevel="0" collapsed="false">
      <c r="A16" s="497" t="s">
        <v>125</v>
      </c>
      <c r="B16" s="0" t="str">
        <f aca="false">CONCATENATE(MUNDIAL!I44,"-",MUNDIAL!N44)</f>
        <v>Marruecos-Croacia</v>
      </c>
      <c r="C16" s="490" t="str">
        <f aca="false">CONCATENATE(IF(MUNDIAL!K44&gt;MUNDIAL!L44,1,IF(MUNDIAL!K44&lt;MUNDIAL!L44,2,IF(AND(MUNDIAL!K44=MUNDIAL!L44,MUNDIAL!K44&lt;&gt;"",MUNDIAL!L44&lt;&gt;""),"X",0))),"|",MUNDIAL!K44,"-",MUNDIAL!L44)</f>
        <v>X|0-0</v>
      </c>
      <c r="D16" s="491"/>
      <c r="I16" s="494"/>
      <c r="M16" s="488"/>
      <c r="N16" s="485"/>
      <c r="O16" s="0"/>
      <c r="P16" s="0"/>
    </row>
    <row r="17" s="1" customFormat="true" ht="16.15" hidden="false" customHeight="true" outlineLevel="0" collapsed="false">
      <c r="A17" s="497" t="s">
        <v>125</v>
      </c>
      <c r="B17" s="0" t="str">
        <f aca="false">CONCATENATE(MUNDIAL!I45,"-",MUNDIAL!N45)</f>
        <v>Bélgica-Canadá</v>
      </c>
      <c r="C17" s="490" t="str">
        <f aca="false">CONCATENATE(IF(MUNDIAL!K45&gt;MUNDIAL!L45,1,IF(MUNDIAL!K45&lt;MUNDIAL!L45,2,IF(AND(MUNDIAL!K45=MUNDIAL!L45,MUNDIAL!K45&lt;&gt;"",MUNDIAL!L45&lt;&gt;""),"X",0))),"|",MUNDIAL!K45,"-",MUNDIAL!L45)</f>
        <v>1|1-0</v>
      </c>
      <c r="D17" s="491"/>
      <c r="I17" s="494"/>
      <c r="M17" s="488"/>
      <c r="N17" s="485"/>
      <c r="O17" s="0"/>
      <c r="P17" s="0"/>
    </row>
    <row r="18" s="1" customFormat="true" ht="16.15" hidden="false" customHeight="true" outlineLevel="0" collapsed="false">
      <c r="A18" s="497" t="s">
        <v>126</v>
      </c>
      <c r="B18" s="0" t="str">
        <f aca="false">CONCATENATE(MUNDIAL!I52,"-",MUNDIAL!N52)</f>
        <v>Suiza-Camerún</v>
      </c>
      <c r="C18" s="490" t="str">
        <f aca="false">CONCATENATE(IF(MUNDIAL!K52&gt;MUNDIAL!L52,1,IF(MUNDIAL!K52&lt;MUNDIAL!L52,2,IF(AND(MUNDIAL!K52=MUNDIAL!L52,MUNDIAL!K52&lt;&gt;"",MUNDIAL!L52&lt;&gt;""),"X",0))),"|",MUNDIAL!K52,"-",MUNDIAL!L52)</f>
        <v>1|1-0</v>
      </c>
      <c r="D18" s="491"/>
      <c r="I18" s="494"/>
      <c r="M18" s="488"/>
      <c r="N18" s="485"/>
      <c r="O18" s="0"/>
      <c r="P18" s="0"/>
    </row>
    <row r="19" s="1" customFormat="true" ht="16.15" hidden="false" customHeight="true" outlineLevel="0" collapsed="false">
      <c r="A19" s="497" t="s">
        <v>126</v>
      </c>
      <c r="B19" s="0" t="str">
        <f aca="false">CONCATENATE(MUNDIAL!I53,"-",MUNDIAL!N53)</f>
        <v>Brasil-Serbia</v>
      </c>
      <c r="C19" s="490" t="str">
        <f aca="false">CONCATENATE(IF(MUNDIAL!K53&gt;MUNDIAL!L53,1,IF(MUNDIAL!K53&lt;MUNDIAL!L53,2,IF(AND(MUNDIAL!K53=MUNDIAL!L53,MUNDIAL!K53&lt;&gt;"",MUNDIAL!L53&lt;&gt;""),"X",0))),"|",MUNDIAL!K53,"-",MUNDIAL!L53)</f>
        <v>1|2-0</v>
      </c>
      <c r="D19" s="491"/>
      <c r="I19" s="494"/>
      <c r="M19" s="488"/>
      <c r="N19" s="485"/>
      <c r="O19" s="0"/>
      <c r="P19" s="0"/>
    </row>
    <row r="20" s="1" customFormat="true" ht="16.15" hidden="false" customHeight="true" outlineLevel="0" collapsed="false">
      <c r="A20" s="497" t="s">
        <v>127</v>
      </c>
      <c r="B20" s="0" t="str">
        <f aca="false">CONCATENATE(MUNDIAL!I60,"-",MUNDIAL!N60)</f>
        <v>Uruguay-Corea del Sur</v>
      </c>
      <c r="C20" s="490" t="str">
        <f aca="false">CONCATENATE(IF(MUNDIAL!K60&gt;MUNDIAL!L60,1,IF(MUNDIAL!K60&lt;MUNDIAL!L60,2,IF(AND(MUNDIAL!K60=MUNDIAL!L60,MUNDIAL!K60&lt;&gt;"",MUNDIAL!L60&lt;&gt;""),"X",0))),"|",MUNDIAL!K60,"-",MUNDIAL!L60)</f>
        <v>X|0-0</v>
      </c>
      <c r="D20" s="491"/>
      <c r="I20" s="494"/>
      <c r="M20" s="488"/>
      <c r="N20" s="485"/>
      <c r="O20" s="0"/>
      <c r="P20" s="0"/>
    </row>
    <row r="21" s="1" customFormat="true" ht="16.15" hidden="false" customHeight="true" outlineLevel="0" collapsed="false">
      <c r="A21" s="497" t="s">
        <v>127</v>
      </c>
      <c r="B21" s="0" t="str">
        <f aca="false">CONCATENATE(MUNDIAL!I61,"-",MUNDIAL!N61)</f>
        <v>Portugal-Ghana</v>
      </c>
      <c r="C21" s="490" t="str">
        <f aca="false">CONCATENATE(IF(MUNDIAL!K61&gt;MUNDIAL!L61,1,IF(MUNDIAL!K61&lt;MUNDIAL!L61,2,IF(AND(MUNDIAL!K61=MUNDIAL!L61,MUNDIAL!K61&lt;&gt;"",MUNDIAL!L61&lt;&gt;""),"X",0))),"|",MUNDIAL!K61,"-",MUNDIAL!L61)</f>
        <v>1|3-2</v>
      </c>
      <c r="D21" s="491"/>
      <c r="I21" s="494"/>
      <c r="M21" s="488"/>
      <c r="N21" s="485"/>
      <c r="O21" s="0"/>
      <c r="P21" s="0"/>
    </row>
    <row r="22" s="1" customFormat="true" ht="15" hidden="false" customHeight="true" outlineLevel="0" collapsed="false">
      <c r="A22" s="489" t="s">
        <v>128</v>
      </c>
      <c r="B22" s="0" t="str">
        <f aca="false">CONCATENATE(MUNDIAL!I6,"-",MUNDIAL!N6)</f>
        <v>Catar-Senegal</v>
      </c>
      <c r="C22" s="490" t="str">
        <f aca="false">CONCATENATE(IF(MUNDIAL!K6&gt;MUNDIAL!L6,1,IF(MUNDIAL!K6&lt;MUNDIAL!L6,2,IF(AND(MUNDIAL!K6=MUNDIAL!L6,MUNDIAL!K6&lt;&gt;"",MUNDIAL!L6&lt;&gt;""),"X",0))),"|",MUNDIAL!K6,"-",MUNDIAL!L6)</f>
        <v>2|1-3</v>
      </c>
      <c r="D22" s="498" t="s">
        <v>74</v>
      </c>
      <c r="E22" s="499" t="s">
        <v>129</v>
      </c>
      <c r="F22" s="499"/>
      <c r="G22" s="499"/>
      <c r="H22" s="499"/>
      <c r="I22" s="494"/>
      <c r="M22" s="488"/>
      <c r="N22" s="485"/>
      <c r="O22" s="0"/>
      <c r="P22" s="0"/>
    </row>
    <row r="23" s="1" customFormat="true" ht="15" hidden="false" customHeight="true" outlineLevel="0" collapsed="false">
      <c r="A23" s="489" t="s">
        <v>128</v>
      </c>
      <c r="B23" s="0" t="str">
        <f aca="false">CONCATENATE(MUNDIAL!I7,"-",MUNDIAL!N7)</f>
        <v>Paises Bajos-Ecuador</v>
      </c>
      <c r="C23" s="490" t="str">
        <f aca="false">CONCATENATE(IF(MUNDIAL!K7&gt;MUNDIAL!L7,1,IF(MUNDIAL!K7&lt;MUNDIAL!L7,2,IF(AND(MUNDIAL!K7=MUNDIAL!L7,MUNDIAL!K7&lt;&gt;"",MUNDIAL!L7&lt;&gt;""),"X",0))),"|",MUNDIAL!K7,"-",MUNDIAL!L7)</f>
        <v>X|1-1</v>
      </c>
      <c r="D23" s="498"/>
      <c r="E23" s="499"/>
      <c r="F23" s="499"/>
      <c r="G23" s="499"/>
      <c r="H23" s="499"/>
      <c r="I23" s="494"/>
      <c r="M23" s="488"/>
      <c r="N23" s="485"/>
      <c r="O23" s="0"/>
      <c r="P23" s="0"/>
    </row>
    <row r="24" s="1" customFormat="true" ht="15" hidden="false" customHeight="true" outlineLevel="0" collapsed="false">
      <c r="A24" s="495" t="s">
        <v>130</v>
      </c>
      <c r="B24" s="0" t="str">
        <f aca="false">CONCATENATE(MUNDIAL!I14,"-",MUNDIAL!N14)</f>
        <v>Gales-Irán</v>
      </c>
      <c r="C24" s="490" t="str">
        <f aca="false">CONCATENATE(IF(MUNDIAL!K14&gt;MUNDIAL!L14,1,IF(MUNDIAL!K14&lt;MUNDIAL!L14,2,IF(AND(MUNDIAL!K14=MUNDIAL!L14,MUNDIAL!K14&lt;&gt;"",MUNDIAL!L14&lt;&gt;""),"X",0))),"|",MUNDIAL!K14,"-",MUNDIAL!L14)</f>
        <v>2|0-2</v>
      </c>
      <c r="D24" s="498"/>
      <c r="E24" s="499"/>
      <c r="F24" s="499"/>
      <c r="G24" s="499"/>
      <c r="H24" s="499"/>
      <c r="I24" s="494"/>
      <c r="M24" s="488"/>
      <c r="N24" s="485"/>
      <c r="O24" s="0"/>
      <c r="P24" s="0"/>
    </row>
    <row r="25" s="1" customFormat="true" ht="15" hidden="false" customHeight="true" outlineLevel="0" collapsed="false">
      <c r="A25" s="495" t="s">
        <v>130</v>
      </c>
      <c r="B25" s="0" t="str">
        <f aca="false">CONCATENATE(MUNDIAL!I15,"-",MUNDIAL!N15)</f>
        <v>Inglaterra-Estados unidos</v>
      </c>
      <c r="C25" s="490" t="str">
        <f aca="false">CONCATENATE(IF(MUNDIAL!K15&gt;MUNDIAL!L15,1,IF(MUNDIAL!K15&lt;MUNDIAL!L15,2,IF(AND(MUNDIAL!K15=MUNDIAL!L15,MUNDIAL!K15&lt;&gt;"",MUNDIAL!L15&lt;&gt;""),"X",0))),"|",MUNDIAL!K15,"-",MUNDIAL!L15)</f>
        <v>X|0-0</v>
      </c>
      <c r="D25" s="498"/>
      <c r="E25" s="499"/>
      <c r="F25" s="499"/>
      <c r="G25" s="499"/>
      <c r="H25" s="499"/>
      <c r="I25" s="494"/>
      <c r="M25" s="488"/>
      <c r="N25" s="485"/>
      <c r="O25" s="0"/>
      <c r="P25" s="0"/>
    </row>
    <row r="26" s="1" customFormat="true" ht="15" hidden="false" customHeight="true" outlineLevel="0" collapsed="false">
      <c r="A26" s="496" t="s">
        <v>131</v>
      </c>
      <c r="B26" s="0" t="str">
        <f aca="false">CONCATENATE(MUNDIAL!I22,"-",MUNDIAL!N22)</f>
        <v>Polonia-Arabia Saudita</v>
      </c>
      <c r="C26" s="490" t="str">
        <f aca="false">CONCATENATE(IF(MUNDIAL!K22&gt;MUNDIAL!L22,1,IF(MUNDIAL!K22&lt;MUNDIAL!L22,2,IF(AND(MUNDIAL!K22=MUNDIAL!L22,MUNDIAL!K22&lt;&gt;"",MUNDIAL!L22&lt;&gt;""),"X",0))),"|",MUNDIAL!K22,"-",MUNDIAL!L22)</f>
        <v>1|2-0</v>
      </c>
      <c r="D26" s="498"/>
      <c r="I26" s="494"/>
      <c r="M26" s="488"/>
      <c r="N26" s="485"/>
      <c r="O26" s="0"/>
      <c r="P26" s="0"/>
    </row>
    <row r="27" s="1" customFormat="true" ht="16.15" hidden="false" customHeight="true" outlineLevel="0" collapsed="false">
      <c r="A27" s="496" t="s">
        <v>131</v>
      </c>
      <c r="B27" s="0" t="str">
        <f aca="false">CONCATENATE(MUNDIAL!I23,"-",MUNDIAL!N23)</f>
        <v>Argentina-México</v>
      </c>
      <c r="C27" s="490" t="str">
        <f aca="false">CONCATENATE(IF(MUNDIAL!K23&gt;MUNDIAL!L23,1,IF(MUNDIAL!K23&lt;MUNDIAL!L23,2,IF(AND(MUNDIAL!K23=MUNDIAL!L23,MUNDIAL!K23&lt;&gt;"",MUNDIAL!L23&lt;&gt;""),"X",0))),"|",MUNDIAL!K23,"-",MUNDIAL!L23)</f>
        <v>1|2-0</v>
      </c>
      <c r="D27" s="498"/>
      <c r="I27" s="494"/>
      <c r="M27" s="488"/>
      <c r="N27" s="485"/>
      <c r="O27" s="0"/>
      <c r="P27" s="0"/>
    </row>
    <row r="28" s="1" customFormat="true" ht="15" hidden="false" customHeight="true" outlineLevel="0" collapsed="false">
      <c r="A28" s="200" t="s">
        <v>132</v>
      </c>
      <c r="B28" s="0" t="str">
        <f aca="false">CONCATENATE(MUNDIAL!I30,"-",MUNDIAL!N30)</f>
        <v>Túnez-Australia</v>
      </c>
      <c r="C28" s="490" t="str">
        <f aca="false">CONCATENATE(IF(MUNDIAL!K30&gt;MUNDIAL!L30,1,IF(MUNDIAL!K30&lt;MUNDIAL!L30,2,IF(AND(MUNDIAL!K30=MUNDIAL!L30,MUNDIAL!K30&lt;&gt;"",MUNDIAL!L30&lt;&gt;""),"X",0))),"|",MUNDIAL!K30,"-",MUNDIAL!L30)</f>
        <v>2|0-1</v>
      </c>
      <c r="D28" s="498"/>
      <c r="I28" s="494"/>
      <c r="M28" s="488"/>
      <c r="N28" s="485"/>
      <c r="O28" s="0"/>
      <c r="P28" s="0"/>
    </row>
    <row r="29" s="1" customFormat="true" ht="15" hidden="false" customHeight="true" outlineLevel="0" collapsed="false">
      <c r="A29" s="200" t="s">
        <v>132</v>
      </c>
      <c r="B29" s="0" t="str">
        <f aca="false">CONCATENATE(MUNDIAL!I31,"-",MUNDIAL!N31)</f>
        <v>Francia-Dinamarca</v>
      </c>
      <c r="C29" s="490" t="str">
        <f aca="false">CONCATENATE(IF(MUNDIAL!K31&gt;MUNDIAL!L31,1,IF(MUNDIAL!K31&lt;MUNDIAL!L31,2,IF(AND(MUNDIAL!K31=MUNDIAL!L31,MUNDIAL!K31&lt;&gt;"",MUNDIAL!L31&lt;&gt;""),"X",0))),"|",MUNDIAL!K31,"-",MUNDIAL!L31)</f>
        <v>1|2-1</v>
      </c>
      <c r="D29" s="498"/>
      <c r="I29" s="494"/>
      <c r="M29" s="488"/>
      <c r="N29" s="485"/>
      <c r="O29" s="0"/>
      <c r="P29" s="0"/>
    </row>
    <row r="30" s="1" customFormat="true" ht="15" hidden="false" customHeight="true" outlineLevel="0" collapsed="false">
      <c r="A30" s="237" t="s">
        <v>133</v>
      </c>
      <c r="B30" s="0" t="str">
        <f aca="false">CONCATENATE(MUNDIAL!I38,"-",MUNDIAL!N38)</f>
        <v>Japón-Costa Rica</v>
      </c>
      <c r="C30" s="490" t="str">
        <f aca="false">CONCATENATE(IF(MUNDIAL!K38&gt;MUNDIAL!L38,1,IF(MUNDIAL!K38&lt;MUNDIAL!L38,2,IF(AND(MUNDIAL!K38=MUNDIAL!L38,MUNDIAL!K38&lt;&gt;"",MUNDIAL!L38&lt;&gt;""),"X",0))),"|",MUNDIAL!K38,"-",MUNDIAL!L38)</f>
        <v>2|0-1</v>
      </c>
      <c r="D30" s="498"/>
      <c r="I30" s="494"/>
      <c r="M30" s="488"/>
      <c r="N30" s="485"/>
      <c r="O30" s="0"/>
      <c r="P30" s="0"/>
    </row>
    <row r="31" s="1" customFormat="true" ht="15" hidden="false" customHeight="true" outlineLevel="0" collapsed="false">
      <c r="A31" s="237" t="s">
        <v>133</v>
      </c>
      <c r="B31" s="0" t="str">
        <f aca="false">CONCATENATE(MUNDIAL!I39,"-",MUNDIAL!N39)</f>
        <v>España-Alemania</v>
      </c>
      <c r="C31" s="490" t="str">
        <f aca="false">CONCATENATE(IF(MUNDIAL!K39&gt;MUNDIAL!L39,1,IF(MUNDIAL!K39&lt;MUNDIAL!L39,2,IF(AND(MUNDIAL!K39=MUNDIAL!L39,MUNDIAL!K39&lt;&gt;"",MUNDIAL!L39&lt;&gt;""),"X",0))),"|",MUNDIAL!K39,"-",MUNDIAL!L39)</f>
        <v>X|1-1</v>
      </c>
      <c r="D31" s="498"/>
      <c r="I31" s="494"/>
      <c r="M31" s="488"/>
      <c r="N31" s="485"/>
      <c r="O31" s="0"/>
      <c r="P31" s="0"/>
    </row>
    <row r="32" s="1" customFormat="true" ht="15" hidden="false" customHeight="true" outlineLevel="0" collapsed="false">
      <c r="A32" s="497" t="s">
        <v>134</v>
      </c>
      <c r="B32" s="0" t="str">
        <f aca="false">CONCATENATE(MUNDIAL!I46,"-",MUNDIAL!N46)</f>
        <v>Bélgica-Marruecos</v>
      </c>
      <c r="C32" s="490" t="str">
        <f aca="false">CONCATENATE(IF(MUNDIAL!K46&gt;MUNDIAL!L46,1,IF(MUNDIAL!K46&lt;MUNDIAL!L46,2,IF(AND(MUNDIAL!K46=MUNDIAL!L46,MUNDIAL!K46&lt;&gt;"",MUNDIAL!L46&lt;&gt;""),"X",0))),"|",MUNDIAL!K46,"-",MUNDIAL!L46)</f>
        <v>2|0-2</v>
      </c>
      <c r="D32" s="498"/>
      <c r="I32" s="494"/>
      <c r="M32" s="488"/>
      <c r="N32" s="485"/>
      <c r="O32" s="0"/>
      <c r="P32" s="0"/>
    </row>
    <row r="33" s="1" customFormat="true" ht="16.15" hidden="false" customHeight="true" outlineLevel="0" collapsed="false">
      <c r="A33" s="497" t="s">
        <v>134</v>
      </c>
      <c r="B33" s="0" t="str">
        <f aca="false">CONCATENATE(MUNDIAL!I47,"-",MUNDIAL!N47)</f>
        <v>Croacia-Canadá</v>
      </c>
      <c r="C33" s="490" t="str">
        <f aca="false">CONCATENATE(IF(MUNDIAL!K47&gt;MUNDIAL!L47,1,IF(MUNDIAL!K47&lt;MUNDIAL!L47,2,IF(AND(MUNDIAL!K47=MUNDIAL!L47,MUNDIAL!K47&lt;&gt;"",MUNDIAL!L47&lt;&gt;""),"X",0))),"|",MUNDIAL!K47,"-",MUNDIAL!L47)</f>
        <v>1|4-1</v>
      </c>
      <c r="D33" s="498"/>
      <c r="I33" s="494"/>
      <c r="M33" s="488"/>
      <c r="N33" s="485"/>
      <c r="O33" s="0"/>
      <c r="P33" s="0"/>
    </row>
    <row r="34" s="1" customFormat="true" ht="16.15" hidden="false" customHeight="true" outlineLevel="0" collapsed="false">
      <c r="A34" s="497" t="s">
        <v>135</v>
      </c>
      <c r="B34" s="0" t="str">
        <f aca="false">CONCATENATE(MUNDIAL!I54,"-",MUNDIAL!N54)</f>
        <v>Camerún-Serbia</v>
      </c>
      <c r="C34" s="490" t="str">
        <f aca="false">CONCATENATE(IF(MUNDIAL!K54&gt;MUNDIAL!L54,1,IF(MUNDIAL!K54&lt;MUNDIAL!L54,2,IF(AND(MUNDIAL!K54=MUNDIAL!L54,MUNDIAL!K54&lt;&gt;"",MUNDIAL!L54&lt;&gt;""),"X",0))),"|",MUNDIAL!K54,"-",MUNDIAL!L54)</f>
        <v>X|3-3</v>
      </c>
      <c r="D34" s="498"/>
      <c r="I34" s="494"/>
      <c r="M34" s="488"/>
      <c r="N34" s="485"/>
      <c r="O34" s="0"/>
      <c r="P34" s="0"/>
    </row>
    <row r="35" s="1" customFormat="true" ht="16.15" hidden="false" customHeight="true" outlineLevel="0" collapsed="false">
      <c r="A35" s="497" t="s">
        <v>135</v>
      </c>
      <c r="B35" s="0" t="str">
        <f aca="false">CONCATENATE(MUNDIAL!I55,"-",MUNDIAL!N55)</f>
        <v>Brasil-Suiza</v>
      </c>
      <c r="C35" s="490" t="str">
        <f aca="false">CONCATENATE(IF(MUNDIAL!K55&gt;MUNDIAL!L55,1,IF(MUNDIAL!K55&lt;MUNDIAL!L55,2,IF(AND(MUNDIAL!K55=MUNDIAL!L55,MUNDIAL!K55&lt;&gt;"",MUNDIAL!L55&lt;&gt;""),"X",0))),"|",MUNDIAL!K55,"-",MUNDIAL!L55)</f>
        <v>1|1-0</v>
      </c>
      <c r="D35" s="498"/>
      <c r="I35" s="494"/>
      <c r="M35" s="488"/>
      <c r="N35" s="485"/>
      <c r="O35" s="0"/>
      <c r="P35" s="0"/>
    </row>
    <row r="36" s="1" customFormat="true" ht="16.15" hidden="false" customHeight="true" outlineLevel="0" collapsed="false">
      <c r="A36" s="497" t="s">
        <v>136</v>
      </c>
      <c r="B36" s="0" t="str">
        <f aca="false">CONCATENATE(MUNDIAL!I62,"-",MUNDIAL!N62)</f>
        <v>Corea del Sur-Ghana</v>
      </c>
      <c r="C36" s="490" t="str">
        <f aca="false">CONCATENATE(IF(MUNDIAL!K62&gt;MUNDIAL!L62,1,IF(MUNDIAL!K62&lt;MUNDIAL!L62,2,IF(AND(MUNDIAL!K62=MUNDIAL!L62,MUNDIAL!K62&lt;&gt;"",MUNDIAL!L62&lt;&gt;""),"X",0))),"|",MUNDIAL!K62,"-",MUNDIAL!L62)</f>
        <v>2|2-3</v>
      </c>
      <c r="D36" s="498"/>
      <c r="I36" s="494"/>
      <c r="M36" s="488"/>
      <c r="N36" s="485"/>
      <c r="O36" s="0"/>
      <c r="P36" s="0"/>
    </row>
    <row r="37" s="1" customFormat="true" ht="16.15" hidden="false" customHeight="true" outlineLevel="0" collapsed="false">
      <c r="A37" s="497" t="s">
        <v>136</v>
      </c>
      <c r="B37" s="0" t="str">
        <f aca="false">CONCATENATE(MUNDIAL!I63,"-",MUNDIAL!N63)</f>
        <v>Portugal-Uruguay</v>
      </c>
      <c r="C37" s="490" t="str">
        <f aca="false">CONCATENATE(IF(MUNDIAL!K63&gt;MUNDIAL!L63,1,IF(MUNDIAL!K63&lt;MUNDIAL!L63,2,IF(AND(MUNDIAL!K63=MUNDIAL!L63,MUNDIAL!K63&lt;&gt;"",MUNDIAL!L63&lt;&gt;""),"X",0))),"|",MUNDIAL!K63,"-",MUNDIAL!L63)</f>
        <v>1|2-0</v>
      </c>
      <c r="D37" s="498"/>
      <c r="I37" s="494"/>
      <c r="M37" s="488"/>
      <c r="N37" s="485"/>
      <c r="O37" s="0"/>
      <c r="P37" s="0"/>
    </row>
    <row r="38" s="1" customFormat="true" ht="15" hidden="false" customHeight="true" outlineLevel="0" collapsed="false">
      <c r="A38" s="489" t="s">
        <v>137</v>
      </c>
      <c r="B38" s="0" t="str">
        <f aca="false">CONCATENATE(MUNDIAL!I8,"-",MUNDIAL!N8)</f>
        <v>Ecuador-Senegal</v>
      </c>
      <c r="C38" s="490" t="str">
        <f aca="false">CONCATENATE(IF(MUNDIAL!K8&gt;MUNDIAL!L8,1,IF(MUNDIAL!K8&lt;MUNDIAL!L8,2,IF(AND(MUNDIAL!K8=MUNDIAL!L8,MUNDIAL!K8&lt;&gt;"",MUNDIAL!L8&lt;&gt;""),"X",0))),"|",MUNDIAL!K8,"-",MUNDIAL!L8)</f>
        <v>2|1-2</v>
      </c>
      <c r="D38" s="500" t="s">
        <v>77</v>
      </c>
      <c r="E38" s="499" t="s">
        <v>138</v>
      </c>
      <c r="F38" s="499"/>
      <c r="G38" s="499"/>
      <c r="H38" s="499"/>
      <c r="I38" s="494"/>
      <c r="M38" s="488"/>
      <c r="N38" s="485"/>
      <c r="O38" s="0"/>
      <c r="P38" s="0"/>
    </row>
    <row r="39" s="1" customFormat="true" ht="15" hidden="false" customHeight="true" outlineLevel="0" collapsed="false">
      <c r="A39" s="489" t="s">
        <v>137</v>
      </c>
      <c r="B39" s="0" t="str">
        <f aca="false">CONCATENATE(MUNDIAL!I9,"-",MUNDIAL!N9)</f>
        <v>Paises Bajos-Catar</v>
      </c>
      <c r="C39" s="490" t="str">
        <f aca="false">CONCATENATE(IF(MUNDIAL!K9&gt;MUNDIAL!L9,1,IF(MUNDIAL!K9&lt;MUNDIAL!L9,2,IF(AND(MUNDIAL!K9=MUNDIAL!L9,MUNDIAL!K9&lt;&gt;"",MUNDIAL!L9&lt;&gt;""),"X",0))),"|",MUNDIAL!K9,"-",MUNDIAL!L9)</f>
        <v>1|2-0</v>
      </c>
      <c r="D39" s="500"/>
      <c r="E39" s="499"/>
      <c r="F39" s="499"/>
      <c r="G39" s="499"/>
      <c r="H39" s="499"/>
      <c r="I39" s="494"/>
      <c r="M39" s="488"/>
      <c r="N39" s="485"/>
      <c r="O39" s="0"/>
      <c r="P39" s="0"/>
    </row>
    <row r="40" s="1" customFormat="true" ht="15" hidden="false" customHeight="true" outlineLevel="0" collapsed="false">
      <c r="A40" s="495" t="s">
        <v>139</v>
      </c>
      <c r="B40" s="0" t="str">
        <f aca="false">CONCATENATE(MUNDIAL!I16,"-",MUNDIAL!N16)</f>
        <v>Gales-Inglaterra</v>
      </c>
      <c r="C40" s="490" t="str">
        <f aca="false">CONCATENATE(IF(MUNDIAL!K16&gt;MUNDIAL!L16,1,IF(MUNDIAL!K16&lt;MUNDIAL!L16,2,IF(AND(MUNDIAL!K16=MUNDIAL!L16,MUNDIAL!K16&lt;&gt;"",MUNDIAL!L16&lt;&gt;""),"X",0))),"|",MUNDIAL!K16,"-",MUNDIAL!L16)</f>
        <v>2|0-3</v>
      </c>
      <c r="D40" s="500"/>
      <c r="E40" s="499"/>
      <c r="F40" s="499"/>
      <c r="G40" s="499"/>
      <c r="H40" s="499"/>
      <c r="I40" s="494"/>
      <c r="M40" s="488"/>
      <c r="N40" s="485"/>
      <c r="O40" s="0"/>
      <c r="P40" s="0"/>
    </row>
    <row r="41" s="1" customFormat="true" ht="15" hidden="false" customHeight="true" outlineLevel="0" collapsed="false">
      <c r="A41" s="495" t="s">
        <v>139</v>
      </c>
      <c r="B41" s="0" t="str">
        <f aca="false">CONCATENATE(MUNDIAL!I17,"-",MUNDIAL!N17)</f>
        <v>Irán-Estados unidos</v>
      </c>
      <c r="C41" s="490" t="str">
        <f aca="false">CONCATENATE(IF(MUNDIAL!K17&gt;MUNDIAL!L17,1,IF(MUNDIAL!K17&lt;MUNDIAL!L17,2,IF(AND(MUNDIAL!K17=MUNDIAL!L17,MUNDIAL!K17&lt;&gt;"",MUNDIAL!L17&lt;&gt;""),"X",0))),"|",MUNDIAL!K17,"-",MUNDIAL!L17)</f>
        <v>2|0-1</v>
      </c>
      <c r="D41" s="500"/>
      <c r="E41" s="499"/>
      <c r="F41" s="499"/>
      <c r="G41" s="499"/>
      <c r="H41" s="499"/>
      <c r="I41" s="494"/>
      <c r="M41" s="488"/>
      <c r="N41" s="485"/>
      <c r="O41" s="0"/>
      <c r="P41" s="0"/>
    </row>
    <row r="42" s="1" customFormat="true" ht="15" hidden="false" customHeight="true" outlineLevel="0" collapsed="false">
      <c r="A42" s="496" t="s">
        <v>140</v>
      </c>
      <c r="B42" s="0" t="str">
        <f aca="false">CONCATENATE(MUNDIAL!I24,"-",MUNDIAL!N24)</f>
        <v>Polonia-Argentina</v>
      </c>
      <c r="C42" s="490" t="str">
        <f aca="false">CONCATENATE(IF(MUNDIAL!K24&gt;MUNDIAL!L24,1,IF(MUNDIAL!K24&lt;MUNDIAL!L24,2,IF(AND(MUNDIAL!K24=MUNDIAL!L24,MUNDIAL!K24&lt;&gt;"",MUNDIAL!L24&lt;&gt;""),"X",0))),"|",MUNDIAL!K24,"-",MUNDIAL!L24)</f>
        <v>2|0-2</v>
      </c>
      <c r="D42" s="500"/>
      <c r="I42" s="494"/>
      <c r="M42" s="488"/>
      <c r="N42" s="485"/>
      <c r="O42" s="0"/>
      <c r="P42" s="0"/>
    </row>
    <row r="43" s="1" customFormat="true" ht="16.15" hidden="false" customHeight="true" outlineLevel="0" collapsed="false">
      <c r="A43" s="496" t="s">
        <v>140</v>
      </c>
      <c r="B43" s="0" t="str">
        <f aca="false">CONCATENATE(MUNDIAL!I25,"-",MUNDIAL!N25)</f>
        <v>Arabia Saudita-México</v>
      </c>
      <c r="C43" s="490" t="str">
        <f aca="false">CONCATENATE(IF(MUNDIAL!K25&gt;MUNDIAL!L25,1,IF(MUNDIAL!K25&lt;MUNDIAL!L25,2,IF(AND(MUNDIAL!K25=MUNDIAL!L25,MUNDIAL!K25&lt;&gt;"",MUNDIAL!L25&lt;&gt;""),"X",0))),"|",MUNDIAL!K25,"-",MUNDIAL!L25)</f>
        <v>2|1-2</v>
      </c>
      <c r="D43" s="500"/>
      <c r="I43" s="494"/>
      <c r="M43" s="488"/>
      <c r="N43" s="485"/>
      <c r="O43" s="0"/>
      <c r="P43" s="0"/>
    </row>
    <row r="44" s="1" customFormat="true" ht="15" hidden="false" customHeight="true" outlineLevel="0" collapsed="false">
      <c r="A44" s="200" t="s">
        <v>141</v>
      </c>
      <c r="B44" s="0" t="str">
        <f aca="false">CONCATENATE(MUNDIAL!I32,"-",MUNDIAL!N32)</f>
        <v>Australia-Dinamarca</v>
      </c>
      <c r="C44" s="490" t="str">
        <f aca="false">CONCATENATE(IF(MUNDIAL!K32&gt;MUNDIAL!L32,1,IF(MUNDIAL!K32&lt;MUNDIAL!L32,2,IF(AND(MUNDIAL!K32=MUNDIAL!L32,MUNDIAL!K32&lt;&gt;"",MUNDIAL!L32&lt;&gt;""),"X",0))),"|",MUNDIAL!K32,"-",MUNDIAL!L32)</f>
        <v>1|1-0</v>
      </c>
      <c r="D44" s="500"/>
      <c r="I44" s="494"/>
      <c r="M44" s="488"/>
      <c r="N44" s="485"/>
      <c r="O44" s="0"/>
      <c r="P44" s="0"/>
    </row>
    <row r="45" s="1" customFormat="true" ht="15" hidden="false" customHeight="true" outlineLevel="0" collapsed="false">
      <c r="A45" s="200" t="s">
        <v>141</v>
      </c>
      <c r="B45" s="0" t="str">
        <f aca="false">CONCATENATE(MUNDIAL!I33,"-",MUNDIAL!N33)</f>
        <v>Túnez-Francia</v>
      </c>
      <c r="C45" s="490" t="str">
        <f aca="false">CONCATENATE(IF(MUNDIAL!K33&gt;MUNDIAL!L33,1,IF(MUNDIAL!K33&lt;MUNDIAL!L33,2,IF(AND(MUNDIAL!K33=MUNDIAL!L33,MUNDIAL!K33&lt;&gt;"",MUNDIAL!L33&lt;&gt;""),"X",0))),"|",MUNDIAL!K33,"-",MUNDIAL!L33)</f>
        <v>1|1-0</v>
      </c>
      <c r="D45" s="500"/>
      <c r="I45" s="494"/>
      <c r="M45" s="488"/>
      <c r="N45" s="485"/>
      <c r="O45" s="0"/>
      <c r="P45" s="0"/>
    </row>
    <row r="46" s="1" customFormat="true" ht="15" hidden="false" customHeight="true" outlineLevel="0" collapsed="false">
      <c r="A46" s="237" t="s">
        <v>142</v>
      </c>
      <c r="B46" s="0" t="str">
        <f aca="false">CONCATENATE(MUNDIAL!I40,"-",MUNDIAL!N40)</f>
        <v>Japón-España</v>
      </c>
      <c r="C46" s="490" t="str">
        <f aca="false">CONCATENATE(IF(MUNDIAL!K40&gt;MUNDIAL!L40,1,IF(MUNDIAL!K40&lt;MUNDIAL!L40,2,IF(AND(MUNDIAL!K40=MUNDIAL!L40,MUNDIAL!K40&lt;&gt;"",MUNDIAL!L40&lt;&gt;""),"X",0))),"|",MUNDIAL!K40,"-",MUNDIAL!L40)</f>
        <v>1|2-1</v>
      </c>
      <c r="D46" s="500"/>
      <c r="I46" s="494"/>
      <c r="M46" s="488"/>
      <c r="N46" s="485"/>
      <c r="O46" s="0"/>
      <c r="P46" s="0"/>
    </row>
    <row r="47" s="1" customFormat="true" ht="15" hidden="false" customHeight="true" outlineLevel="0" collapsed="false">
      <c r="A47" s="237" t="s">
        <v>142</v>
      </c>
      <c r="B47" s="0" t="str">
        <f aca="false">CONCATENATE(MUNDIAL!I41,"-",MUNDIAL!N41)</f>
        <v>Costa Rica-Alemania</v>
      </c>
      <c r="C47" s="490" t="str">
        <f aca="false">CONCATENATE(IF(MUNDIAL!K41&gt;MUNDIAL!L41,1,IF(MUNDIAL!K41&lt;MUNDIAL!L41,2,IF(AND(MUNDIAL!K41=MUNDIAL!L41,MUNDIAL!K41&lt;&gt;"",MUNDIAL!L41&lt;&gt;""),"X",0))),"|",MUNDIAL!K41,"-",MUNDIAL!L41)</f>
        <v>2|2-4</v>
      </c>
      <c r="D47" s="500"/>
      <c r="I47" s="494"/>
      <c r="M47" s="488"/>
      <c r="N47" s="485"/>
      <c r="O47" s="0"/>
      <c r="P47" s="0"/>
    </row>
    <row r="48" s="1" customFormat="true" ht="15" hidden="false" customHeight="true" outlineLevel="0" collapsed="false">
      <c r="A48" s="497" t="s">
        <v>143</v>
      </c>
      <c r="B48" s="0" t="str">
        <f aca="false">CONCATENATE(MUNDIAL!I48,"-",MUNDIAL!N48)</f>
        <v>Croacia-Bélgica</v>
      </c>
      <c r="C48" s="490" t="str">
        <f aca="false">CONCATENATE(IF(MUNDIAL!K48&gt;MUNDIAL!L48,1,IF(MUNDIAL!K48&lt;MUNDIAL!L48,2,IF(AND(MUNDIAL!K48=MUNDIAL!L48,MUNDIAL!K48&lt;&gt;"",MUNDIAL!L48&lt;&gt;""),"X",0))),"|",MUNDIAL!K48,"-",MUNDIAL!L48)</f>
        <v>X|0-0</v>
      </c>
      <c r="D48" s="500"/>
      <c r="I48" s="494"/>
      <c r="M48" s="488"/>
      <c r="N48" s="485"/>
      <c r="O48" s="0"/>
      <c r="P48" s="0"/>
    </row>
    <row r="49" s="1" customFormat="true" ht="16.15" hidden="false" customHeight="true" outlineLevel="0" collapsed="false">
      <c r="A49" s="497" t="s">
        <v>143</v>
      </c>
      <c r="B49" s="0" t="str">
        <f aca="false">CONCATENATE(MUNDIAL!I49,"-",MUNDIAL!N49)</f>
        <v>Canadá-Marruecos</v>
      </c>
      <c r="C49" s="490" t="str">
        <f aca="false">CONCATENATE(IF(MUNDIAL!K49&gt;MUNDIAL!L49,1,IF(MUNDIAL!K49&lt;MUNDIAL!L49,2,IF(AND(MUNDIAL!K49=MUNDIAL!L49,MUNDIAL!K49&lt;&gt;"",MUNDIAL!L49&lt;&gt;""),"X",0))),"|",MUNDIAL!K49,"-",MUNDIAL!L49)</f>
        <v>2|1-2</v>
      </c>
      <c r="D49" s="500"/>
      <c r="I49" s="494"/>
      <c r="M49" s="488"/>
      <c r="N49" s="485"/>
      <c r="O49" s="0"/>
      <c r="P49" s="0"/>
    </row>
    <row r="50" s="1" customFormat="true" ht="16.15" hidden="false" customHeight="true" outlineLevel="0" collapsed="false">
      <c r="A50" s="497" t="s">
        <v>144</v>
      </c>
      <c r="B50" s="0" t="str">
        <f aca="false">CONCATENATE(MUNDIAL!I56,"-",MUNDIAL!N56)</f>
        <v>Serbia-Suiza</v>
      </c>
      <c r="C50" s="490" t="str">
        <f aca="false">CONCATENATE(IF(MUNDIAL!K56&gt;MUNDIAL!L56,1,IF(MUNDIAL!K56&lt;MUNDIAL!L56,2,IF(AND(MUNDIAL!K56=MUNDIAL!L56,MUNDIAL!K56&lt;&gt;"",MUNDIAL!L56&lt;&gt;""),"X",0))),"|",MUNDIAL!K56,"-",MUNDIAL!L56)</f>
        <v>2|2-3</v>
      </c>
      <c r="D50" s="500"/>
      <c r="I50" s="494"/>
      <c r="M50" s="488"/>
      <c r="N50" s="485"/>
      <c r="O50" s="0"/>
      <c r="P50" s="0"/>
    </row>
    <row r="51" s="1" customFormat="true" ht="16.15" hidden="false" customHeight="true" outlineLevel="0" collapsed="false">
      <c r="A51" s="497" t="s">
        <v>144</v>
      </c>
      <c r="B51" s="0" t="str">
        <f aca="false">CONCATENATE(MUNDIAL!I57,"-",MUNDIAL!N57)</f>
        <v>Camerún-Brasil</v>
      </c>
      <c r="C51" s="490" t="str">
        <f aca="false">CONCATENATE(IF(MUNDIAL!K57&gt;MUNDIAL!L57,1,IF(MUNDIAL!K57&lt;MUNDIAL!L57,2,IF(AND(MUNDIAL!K57=MUNDIAL!L57,MUNDIAL!K57&lt;&gt;"",MUNDIAL!L57&lt;&gt;""),"X",0))),"|",MUNDIAL!K57,"-",MUNDIAL!L57)</f>
        <v>1|1-0</v>
      </c>
      <c r="D51" s="500"/>
      <c r="I51" s="494"/>
      <c r="M51" s="488"/>
      <c r="N51" s="485"/>
      <c r="O51" s="0"/>
      <c r="P51" s="0"/>
    </row>
    <row r="52" s="1" customFormat="true" ht="16.15" hidden="false" customHeight="true" outlineLevel="0" collapsed="false">
      <c r="A52" s="497" t="s">
        <v>145</v>
      </c>
      <c r="B52" s="0" t="str">
        <f aca="false">CONCATENATE(MUNDIAL!I64,"-",MUNDIAL!N64)</f>
        <v>Ghana-Uruguay</v>
      </c>
      <c r="C52" s="490" t="str">
        <f aca="false">CONCATENATE(IF(MUNDIAL!K64&gt;MUNDIAL!L64,1,IF(MUNDIAL!K64&lt;MUNDIAL!L64,2,IF(AND(MUNDIAL!K64=MUNDIAL!L64,MUNDIAL!K64&lt;&gt;"",MUNDIAL!L64&lt;&gt;""),"X",0))),"|",MUNDIAL!K64,"-",MUNDIAL!L64)</f>
        <v>2|0-2</v>
      </c>
      <c r="D52" s="500"/>
      <c r="I52" s="494"/>
      <c r="M52" s="488"/>
      <c r="N52" s="485"/>
      <c r="O52" s="0"/>
      <c r="P52" s="0"/>
    </row>
    <row r="53" s="1" customFormat="true" ht="16.15" hidden="false" customHeight="true" outlineLevel="0" collapsed="false">
      <c r="A53" s="497" t="s">
        <v>145</v>
      </c>
      <c r="B53" s="0" t="str">
        <f aca="false">CONCATENATE(MUNDIAL!I65,"-",MUNDIAL!N65)</f>
        <v>Corea del Sur-Portugal</v>
      </c>
      <c r="C53" s="490" t="str">
        <f aca="false">CONCATENATE(IF(MUNDIAL!K65&gt;MUNDIAL!L65,1,IF(MUNDIAL!K65&lt;MUNDIAL!L65,2,IF(AND(MUNDIAL!K65=MUNDIAL!L65,MUNDIAL!K65&lt;&gt;"",MUNDIAL!L65&lt;&gt;""),"X",0))),"|",MUNDIAL!K65,"-",MUNDIAL!L65)</f>
        <v>1|2-1</v>
      </c>
      <c r="D53" s="500"/>
      <c r="I53" s="494"/>
      <c r="M53" s="488"/>
      <c r="N53" s="485"/>
      <c r="O53" s="0"/>
      <c r="P53" s="0"/>
    </row>
    <row r="54" s="1" customFormat="true" ht="15" hidden="false" customHeight="true" outlineLevel="0" collapsed="false">
      <c r="A54" s="0"/>
      <c r="B54" s="0"/>
      <c r="C54" s="490"/>
      <c r="D54" s="500"/>
      <c r="I54" s="494"/>
      <c r="M54" s="488"/>
      <c r="N54" s="485"/>
      <c r="O54" s="0"/>
      <c r="P54" s="0"/>
    </row>
    <row r="55" s="1" customFormat="true" ht="19.15" hidden="false" customHeight="true" outlineLevel="0" collapsed="false">
      <c r="A55" s="0"/>
      <c r="B55" s="480" t="s">
        <v>146</v>
      </c>
      <c r="C55" s="490"/>
      <c r="D55" s="500"/>
      <c r="I55" s="494"/>
      <c r="M55" s="488"/>
      <c r="N55" s="485"/>
      <c r="O55" s="0"/>
      <c r="P55" s="0"/>
    </row>
    <row r="56" s="1" customFormat="true" ht="15" hidden="false" customHeight="true" outlineLevel="0" collapsed="false">
      <c r="A56" s="501" t="s">
        <v>30</v>
      </c>
      <c r="B56" s="474" t="s">
        <v>147</v>
      </c>
      <c r="C56" s="490" t="str">
        <f aca="false">IF(SUM(MUNDIAL!$T$6:$T$9)=12,MUNDIAL!R6,B56)</f>
        <v>Paises Bajos</v>
      </c>
      <c r="D56" s="500"/>
      <c r="I56" s="494"/>
      <c r="M56" s="488"/>
      <c r="N56" s="485"/>
      <c r="O56" s="0"/>
      <c r="P56" s="0"/>
    </row>
    <row r="57" s="1" customFormat="true" ht="15" hidden="false" customHeight="true" outlineLevel="0" collapsed="false">
      <c r="A57" s="501"/>
      <c r="B57" s="474" t="s">
        <v>148</v>
      </c>
      <c r="C57" s="490" t="str">
        <f aca="false">IF(SUM(MUNDIAL!$T$6:$T$9)=12,MUNDIAL!R7,B57)</f>
        <v>Senegal</v>
      </c>
      <c r="D57" s="500"/>
      <c r="I57" s="494"/>
      <c r="M57" s="488"/>
      <c r="N57" s="485"/>
      <c r="O57" s="0"/>
      <c r="P57" s="0"/>
    </row>
    <row r="58" s="1" customFormat="true" ht="15" hidden="false" customHeight="true" outlineLevel="0" collapsed="false">
      <c r="A58" s="501"/>
      <c r="B58" s="474" t="s">
        <v>149</v>
      </c>
      <c r="C58" s="490" t="str">
        <f aca="false">IF(SUM(MUNDIAL!$T$6:$T$9)=12,MUNDIAL!R8,B58)</f>
        <v>Ecuador</v>
      </c>
      <c r="D58" s="500"/>
      <c r="I58" s="494"/>
      <c r="M58" s="488"/>
      <c r="N58" s="485"/>
      <c r="O58" s="0"/>
      <c r="P58" s="0"/>
    </row>
    <row r="59" s="1" customFormat="true" ht="15" hidden="false" customHeight="true" outlineLevel="0" collapsed="false">
      <c r="A59" s="501"/>
      <c r="B59" s="474" t="s">
        <v>150</v>
      </c>
      <c r="C59" s="490" t="str">
        <f aca="false">IF(SUM(MUNDIAL!$T$6:$T$9)=12,MUNDIAL!R9,B59)</f>
        <v>Catar</v>
      </c>
      <c r="D59" s="500"/>
      <c r="I59" s="494"/>
      <c r="M59" s="488"/>
      <c r="N59" s="485"/>
      <c r="O59" s="0"/>
      <c r="P59" s="0"/>
    </row>
    <row r="60" s="1" customFormat="true" ht="15" hidden="false" customHeight="true" outlineLevel="0" collapsed="false">
      <c r="A60" s="502" t="s">
        <v>82</v>
      </c>
      <c r="B60" s="474" t="s">
        <v>151</v>
      </c>
      <c r="C60" s="490" t="str">
        <f aca="false">IF(SUM(MUNDIAL!$T$14:$T$17)=12,MUNDIAL!R14,B60)</f>
        <v>Inglaterra</v>
      </c>
      <c r="D60" s="500"/>
      <c r="I60" s="494"/>
      <c r="M60" s="488"/>
      <c r="N60" s="485"/>
      <c r="O60" s="0"/>
      <c r="P60" s="0"/>
    </row>
    <row r="61" s="1" customFormat="true" ht="15" hidden="false" customHeight="true" outlineLevel="0" collapsed="false">
      <c r="A61" s="502"/>
      <c r="B61" s="474" t="s">
        <v>152</v>
      </c>
      <c r="C61" s="490" t="str">
        <f aca="false">IF(SUM(MUNDIAL!$T$14:$T$17)=12,MUNDIAL!R15,B61)</f>
        <v>Estados unidos</v>
      </c>
      <c r="D61" s="500"/>
      <c r="I61" s="494"/>
      <c r="M61" s="488"/>
      <c r="N61" s="485"/>
      <c r="O61" s="0"/>
      <c r="P61" s="0"/>
    </row>
    <row r="62" s="1" customFormat="true" ht="15" hidden="false" customHeight="true" outlineLevel="0" collapsed="false">
      <c r="A62" s="502"/>
      <c r="B62" s="474" t="s">
        <v>153</v>
      </c>
      <c r="C62" s="490" t="str">
        <f aca="false">IF(SUM(MUNDIAL!$T$14:$T$17)=12,MUNDIAL!R16,B62)</f>
        <v>Irán</v>
      </c>
      <c r="D62" s="500"/>
      <c r="I62" s="494"/>
      <c r="M62" s="488"/>
      <c r="N62" s="485"/>
      <c r="O62" s="0"/>
      <c r="P62" s="0"/>
    </row>
    <row r="63" s="1" customFormat="true" ht="15" hidden="false" customHeight="true" outlineLevel="0" collapsed="false">
      <c r="A63" s="502"/>
      <c r="B63" s="474" t="s">
        <v>154</v>
      </c>
      <c r="C63" s="490" t="str">
        <f aca="false">IF(SUM(MUNDIAL!$T$14:$T$17)=12,MUNDIAL!R17,B63)</f>
        <v>Gales</v>
      </c>
      <c r="D63" s="500"/>
      <c r="I63" s="494"/>
      <c r="M63" s="488"/>
      <c r="N63" s="485"/>
      <c r="O63" s="0"/>
      <c r="P63" s="0"/>
    </row>
    <row r="64" s="1" customFormat="true" ht="15" hidden="false" customHeight="true" outlineLevel="0" collapsed="false">
      <c r="A64" s="503" t="s">
        <v>83</v>
      </c>
      <c r="B64" s="474" t="s">
        <v>155</v>
      </c>
      <c r="C64" s="490" t="str">
        <f aca="false">IF(SUM(MUNDIAL!$T$22:$T$25)=12,MUNDIAL!R22,B64)</f>
        <v>Argentina</v>
      </c>
      <c r="D64" s="500"/>
      <c r="I64" s="494"/>
      <c r="M64" s="488"/>
      <c r="N64" s="485"/>
      <c r="O64" s="0"/>
      <c r="P64" s="0"/>
    </row>
    <row r="65" s="1" customFormat="true" ht="15" hidden="false" customHeight="true" outlineLevel="0" collapsed="false">
      <c r="A65" s="503"/>
      <c r="B65" s="474" t="s">
        <v>156</v>
      </c>
      <c r="C65" s="490" t="str">
        <f aca="false">IF(SUM(MUNDIAL!$T$22:$T$25)=12,MUNDIAL!R23,B65)</f>
        <v>Polonia</v>
      </c>
      <c r="D65" s="500"/>
      <c r="I65" s="494"/>
      <c r="M65" s="488"/>
      <c r="N65" s="485"/>
      <c r="O65" s="0"/>
      <c r="P65" s="0"/>
    </row>
    <row r="66" s="1" customFormat="true" ht="15" hidden="false" customHeight="true" outlineLevel="0" collapsed="false">
      <c r="A66" s="503"/>
      <c r="B66" s="474" t="s">
        <v>157</v>
      </c>
      <c r="C66" s="490" t="str">
        <f aca="false">IF(SUM(MUNDIAL!$T$22:$T$25)=12,MUNDIAL!R24,B66)</f>
        <v>México</v>
      </c>
      <c r="D66" s="500"/>
      <c r="I66" s="494"/>
      <c r="M66" s="488"/>
      <c r="N66" s="485"/>
      <c r="O66" s="0"/>
      <c r="P66" s="0"/>
    </row>
    <row r="67" s="1" customFormat="true" ht="15" hidden="false" customHeight="true" outlineLevel="0" collapsed="false">
      <c r="A67" s="503"/>
      <c r="B67" s="474" t="s">
        <v>158</v>
      </c>
      <c r="C67" s="490" t="str">
        <f aca="false">IF(SUM(MUNDIAL!$T$22:$T$25)=12,MUNDIAL!R25,B67)</f>
        <v>Arabia Saudita</v>
      </c>
      <c r="D67" s="500"/>
      <c r="I67" s="494"/>
      <c r="M67" s="488"/>
      <c r="N67" s="485"/>
      <c r="O67" s="0"/>
      <c r="P67" s="0"/>
    </row>
    <row r="68" s="1" customFormat="true" ht="15" hidden="false" customHeight="true" outlineLevel="0" collapsed="false">
      <c r="A68" s="504" t="s">
        <v>84</v>
      </c>
      <c r="B68" s="474" t="s">
        <v>159</v>
      </c>
      <c r="C68" s="490" t="str">
        <f aca="false">IF(SUM(MUNDIAL!$T$30:$T$33)=12,MUNDIAL!R30,B68)</f>
        <v>Francia</v>
      </c>
      <c r="D68" s="500"/>
      <c r="I68" s="494"/>
      <c r="M68" s="488"/>
      <c r="N68" s="485"/>
      <c r="O68" s="0"/>
      <c r="P68" s="0"/>
    </row>
    <row r="69" s="1" customFormat="true" ht="15" hidden="false" customHeight="true" outlineLevel="0" collapsed="false">
      <c r="A69" s="504"/>
      <c r="B69" s="474" t="s">
        <v>160</v>
      </c>
      <c r="C69" s="490" t="str">
        <f aca="false">IF(SUM(MUNDIAL!$T$30:$T$33)=12,MUNDIAL!R31,B69)</f>
        <v>Australia</v>
      </c>
      <c r="D69" s="500"/>
      <c r="I69" s="494"/>
      <c r="M69" s="488"/>
      <c r="N69" s="485"/>
      <c r="O69" s="0"/>
      <c r="P69" s="0"/>
    </row>
    <row r="70" s="1" customFormat="true" ht="15" hidden="false" customHeight="true" outlineLevel="0" collapsed="false">
      <c r="A70" s="504"/>
      <c r="B70" s="474" t="s">
        <v>161</v>
      </c>
      <c r="C70" s="490" t="str">
        <f aca="false">IF(SUM(MUNDIAL!$T$30:$T$33)=12,MUNDIAL!R32,B70)</f>
        <v>Túnez</v>
      </c>
      <c r="D70" s="500"/>
      <c r="I70" s="494"/>
      <c r="M70" s="488"/>
      <c r="N70" s="485"/>
      <c r="O70" s="0"/>
      <c r="P70" s="0"/>
    </row>
    <row r="71" s="1" customFormat="true" ht="15" hidden="false" customHeight="true" outlineLevel="0" collapsed="false">
      <c r="A71" s="504"/>
      <c r="B71" s="474" t="s">
        <v>162</v>
      </c>
      <c r="C71" s="490" t="str">
        <f aca="false">IF(SUM(MUNDIAL!$T$30:$T$33)=12,MUNDIAL!R33,B71)</f>
        <v>Dinamarca</v>
      </c>
      <c r="D71" s="500"/>
      <c r="I71" s="494"/>
      <c r="M71" s="488"/>
      <c r="N71" s="485"/>
      <c r="O71" s="0"/>
      <c r="P71" s="0"/>
    </row>
    <row r="72" s="1" customFormat="true" ht="15" hidden="false" customHeight="true" outlineLevel="0" collapsed="false">
      <c r="A72" s="505" t="s">
        <v>45</v>
      </c>
      <c r="B72" s="474" t="s">
        <v>163</v>
      </c>
      <c r="C72" s="490" t="str">
        <f aca="false">IF(SUM(MUNDIAL!$T$38:$T$41)=12,MUNDIAL!R38,B72)</f>
        <v>Japón</v>
      </c>
      <c r="D72" s="500"/>
      <c r="I72" s="494"/>
      <c r="M72" s="488"/>
      <c r="N72" s="485"/>
      <c r="O72" s="0"/>
      <c r="P72" s="0"/>
    </row>
    <row r="73" s="1" customFormat="true" ht="15" hidden="false" customHeight="true" outlineLevel="0" collapsed="false">
      <c r="A73" s="505"/>
      <c r="B73" s="474" t="s">
        <v>164</v>
      </c>
      <c r="C73" s="490" t="str">
        <f aca="false">IF(SUM(MUNDIAL!$T$38:$T$41)=12,MUNDIAL!R39,B73)</f>
        <v>España</v>
      </c>
      <c r="D73" s="500"/>
      <c r="I73" s="494"/>
      <c r="M73" s="488"/>
      <c r="N73" s="485"/>
      <c r="O73" s="0"/>
      <c r="P73" s="0"/>
    </row>
    <row r="74" s="1" customFormat="true" ht="15" hidden="false" customHeight="true" outlineLevel="0" collapsed="false">
      <c r="A74" s="505"/>
      <c r="B74" s="474" t="s">
        <v>165</v>
      </c>
      <c r="C74" s="490" t="str">
        <f aca="false">IF(SUM(MUNDIAL!$T$38:$T$41)=12,MUNDIAL!R40,B74)</f>
        <v>Alemania</v>
      </c>
      <c r="D74" s="500"/>
      <c r="I74" s="494"/>
      <c r="M74" s="488"/>
      <c r="N74" s="485"/>
      <c r="O74" s="0"/>
      <c r="P74" s="0"/>
    </row>
    <row r="75" s="1" customFormat="true" ht="15" hidden="false" customHeight="true" outlineLevel="0" collapsed="false">
      <c r="A75" s="505"/>
      <c r="B75" s="474" t="s">
        <v>166</v>
      </c>
      <c r="C75" s="490" t="str">
        <f aca="false">IF(SUM(MUNDIAL!$T$38:$T$41)=12,MUNDIAL!R41,B75)</f>
        <v>Costa Rica</v>
      </c>
      <c r="D75" s="500"/>
      <c r="I75" s="494"/>
      <c r="M75" s="488"/>
      <c r="N75" s="485"/>
      <c r="O75" s="0"/>
      <c r="P75" s="0"/>
    </row>
    <row r="76" s="1" customFormat="true" ht="15" hidden="false" customHeight="true" outlineLevel="0" collapsed="false">
      <c r="A76" s="506" t="s">
        <v>85</v>
      </c>
      <c r="B76" s="474" t="s">
        <v>167</v>
      </c>
      <c r="C76" s="490" t="str">
        <f aca="false">IF(SUM(MUNDIAL!$T$46:$T$49)=12,MUNDIAL!R46,B76)</f>
        <v>Marruecos</v>
      </c>
      <c r="D76" s="500"/>
      <c r="I76" s="494"/>
      <c r="M76" s="488"/>
      <c r="N76" s="485"/>
      <c r="O76" s="0"/>
      <c r="P76" s="0"/>
    </row>
    <row r="77" s="1" customFormat="true" ht="15" hidden="false" customHeight="true" outlineLevel="0" collapsed="false">
      <c r="A77" s="506"/>
      <c r="B77" s="474" t="s">
        <v>168</v>
      </c>
      <c r="C77" s="490" t="str">
        <f aca="false">IF(SUM(MUNDIAL!$T$46:$T$49)=12,MUNDIAL!R47,B77)</f>
        <v>Croacia</v>
      </c>
      <c r="D77" s="500"/>
      <c r="I77" s="494"/>
      <c r="M77" s="488"/>
      <c r="N77" s="485"/>
      <c r="O77" s="0"/>
      <c r="P77" s="0"/>
    </row>
    <row r="78" s="1" customFormat="true" ht="15" hidden="false" customHeight="true" outlineLevel="0" collapsed="false">
      <c r="A78" s="506"/>
      <c r="B78" s="474" t="s">
        <v>169</v>
      </c>
      <c r="C78" s="490" t="str">
        <f aca="false">IF(SUM(MUNDIAL!$T$46:$T$49)=12,MUNDIAL!R48,B78)</f>
        <v>Bélgica</v>
      </c>
      <c r="D78" s="500"/>
      <c r="I78" s="494"/>
      <c r="M78" s="488"/>
      <c r="N78" s="485"/>
      <c r="O78" s="0"/>
      <c r="P78" s="0"/>
    </row>
    <row r="79" s="1" customFormat="true" ht="15" hidden="false" customHeight="true" outlineLevel="0" collapsed="false">
      <c r="A79" s="506"/>
      <c r="B79" s="474" t="s">
        <v>170</v>
      </c>
      <c r="C79" s="490" t="str">
        <f aca="false">IF(SUM(MUNDIAL!$T$46:$T$49)=12,MUNDIAL!R49,B79)</f>
        <v>Canadá</v>
      </c>
      <c r="D79" s="500"/>
      <c r="I79" s="494"/>
      <c r="M79" s="488"/>
      <c r="N79" s="485"/>
      <c r="O79" s="0"/>
      <c r="P79" s="0"/>
    </row>
    <row r="80" s="1" customFormat="true" ht="15" hidden="false" customHeight="true" outlineLevel="0" collapsed="false">
      <c r="A80" s="507" t="s">
        <v>44</v>
      </c>
      <c r="B80" s="474" t="s">
        <v>171</v>
      </c>
      <c r="C80" s="490" t="str">
        <f aca="false">IF(SUM(MUNDIAL!$T$54:$T$57)=12,MUNDIAL!R54,B80)</f>
        <v>Brasil</v>
      </c>
      <c r="D80" s="500"/>
      <c r="I80" s="494"/>
      <c r="M80" s="488"/>
      <c r="N80" s="485"/>
      <c r="O80" s="0"/>
      <c r="P80" s="0"/>
    </row>
    <row r="81" s="1" customFormat="true" ht="15" hidden="false" customHeight="true" outlineLevel="0" collapsed="false">
      <c r="A81" s="507"/>
      <c r="B81" s="474" t="s">
        <v>172</v>
      </c>
      <c r="C81" s="490" t="str">
        <f aca="false">IF(SUM(MUNDIAL!$T$54:$T$57)=12,MUNDIAL!R55,B81)</f>
        <v>Suiza</v>
      </c>
      <c r="D81" s="500"/>
      <c r="I81" s="494"/>
      <c r="M81" s="488"/>
      <c r="N81" s="485"/>
      <c r="O81" s="0"/>
      <c r="P81" s="0"/>
    </row>
    <row r="82" s="1" customFormat="true" ht="15" hidden="false" customHeight="true" outlineLevel="0" collapsed="false">
      <c r="A82" s="507"/>
      <c r="B82" s="474" t="s">
        <v>173</v>
      </c>
      <c r="C82" s="490" t="str">
        <f aca="false">IF(SUM(MUNDIAL!$T$54:$T$57)=12,MUNDIAL!R56,B82)</f>
        <v>Camerún</v>
      </c>
      <c r="D82" s="500"/>
      <c r="I82" s="494"/>
      <c r="M82" s="488"/>
      <c r="N82" s="485"/>
      <c r="O82" s="0"/>
      <c r="P82" s="0"/>
    </row>
    <row r="83" s="1" customFormat="true" ht="15" hidden="false" customHeight="true" outlineLevel="0" collapsed="false">
      <c r="A83" s="507"/>
      <c r="B83" s="474" t="s">
        <v>174</v>
      </c>
      <c r="C83" s="490" t="str">
        <f aca="false">IF(SUM(MUNDIAL!$T$54:$T$57)=12,MUNDIAL!R57,B83)</f>
        <v>Serbia</v>
      </c>
      <c r="D83" s="500"/>
      <c r="I83" s="494"/>
      <c r="M83" s="488"/>
      <c r="N83" s="485"/>
      <c r="O83" s="0"/>
      <c r="P83" s="0"/>
    </row>
    <row r="84" s="1" customFormat="true" ht="15" hidden="false" customHeight="true" outlineLevel="0" collapsed="false">
      <c r="A84" s="508" t="s">
        <v>86</v>
      </c>
      <c r="B84" s="474" t="s">
        <v>175</v>
      </c>
      <c r="C84" s="490" t="str">
        <f aca="false">IF(SUM(MUNDIAL!$T$62:$T$65)=12,MUNDIAL!R62,B83)</f>
        <v>Portugal</v>
      </c>
      <c r="D84" s="500"/>
      <c r="I84" s="494"/>
      <c r="M84" s="488"/>
      <c r="N84" s="485"/>
      <c r="O84" s="0"/>
      <c r="P84" s="0"/>
    </row>
    <row r="85" s="1" customFormat="true" ht="15" hidden="false" customHeight="true" outlineLevel="0" collapsed="false">
      <c r="A85" s="508"/>
      <c r="B85" s="474" t="s">
        <v>176</v>
      </c>
      <c r="C85" s="490" t="str">
        <f aca="false">IF(SUM(MUNDIAL!$T$62:$T$65)=12,MUNDIAL!R63,B84)</f>
        <v>Corea del Sur</v>
      </c>
      <c r="D85" s="500"/>
      <c r="I85" s="494"/>
      <c r="M85" s="488"/>
      <c r="N85" s="485"/>
      <c r="O85" s="0"/>
      <c r="P85" s="0"/>
    </row>
    <row r="86" s="1" customFormat="true" ht="15" hidden="false" customHeight="true" outlineLevel="0" collapsed="false">
      <c r="A86" s="508"/>
      <c r="B86" s="474" t="s">
        <v>177</v>
      </c>
      <c r="C86" s="490" t="str">
        <f aca="false">IF(SUM(MUNDIAL!$T$62:$T$65)=12,MUNDIAL!R64,B85)</f>
        <v>Uruguay</v>
      </c>
      <c r="D86" s="500"/>
      <c r="I86" s="494"/>
      <c r="M86" s="488"/>
      <c r="N86" s="485"/>
      <c r="O86" s="0"/>
      <c r="P86" s="0"/>
    </row>
    <row r="87" s="1" customFormat="true" ht="15" hidden="false" customHeight="true" outlineLevel="0" collapsed="false">
      <c r="A87" s="508"/>
      <c r="B87" s="474" t="s">
        <v>178</v>
      </c>
      <c r="C87" s="490" t="str">
        <f aca="false">IF(SUM(MUNDIAL!$T$62:$T$65)=12,MUNDIAL!R65,B86)</f>
        <v>Ghana</v>
      </c>
      <c r="D87" s="500"/>
      <c r="I87" s="494"/>
      <c r="M87" s="488"/>
      <c r="N87" s="485"/>
      <c r="O87" s="0"/>
      <c r="P87" s="0"/>
    </row>
    <row r="88" s="1" customFormat="true" ht="15" hidden="false" customHeight="true" outlineLevel="0" collapsed="false">
      <c r="A88" s="0"/>
      <c r="B88" s="0"/>
      <c r="C88" s="490"/>
      <c r="D88" s="500"/>
      <c r="I88" s="494"/>
      <c r="M88" s="488"/>
      <c r="N88" s="485"/>
      <c r="O88" s="0"/>
      <c r="P88" s="0"/>
    </row>
    <row r="89" s="1" customFormat="true" ht="19.15" hidden="false" customHeight="true" outlineLevel="0" collapsed="false">
      <c r="A89" s="0"/>
      <c r="B89" s="480" t="s">
        <v>179</v>
      </c>
      <c r="C89" s="490"/>
      <c r="D89" s="500"/>
      <c r="I89" s="494"/>
      <c r="M89" s="488"/>
      <c r="N89" s="485"/>
      <c r="O89" s="0"/>
      <c r="P89" s="0"/>
    </row>
    <row r="90" s="1" customFormat="true" ht="15" hidden="false" customHeight="true" outlineLevel="0" collapsed="false">
      <c r="A90" s="509" t="s">
        <v>89</v>
      </c>
      <c r="B90" s="474" t="s">
        <v>180</v>
      </c>
      <c r="C90" s="490" t="str">
        <f aca="false">MUNDIAL!I69</f>
        <v>Paises Bajos</v>
      </c>
      <c r="D90" s="500"/>
      <c r="I90" s="494"/>
      <c r="M90" s="488"/>
      <c r="N90" s="485"/>
      <c r="O90" s="0"/>
      <c r="P90" s="0"/>
    </row>
    <row r="91" s="1" customFormat="true" ht="15" hidden="false" customHeight="true" outlineLevel="0" collapsed="false">
      <c r="A91" s="509"/>
      <c r="B91" s="474" t="s">
        <v>180</v>
      </c>
      <c r="C91" s="490" t="str">
        <f aca="false">MUNDIAL!I70</f>
        <v>Argentina</v>
      </c>
      <c r="D91" s="500"/>
      <c r="I91" s="494"/>
      <c r="M91" s="488"/>
      <c r="N91" s="485"/>
      <c r="O91" s="0"/>
      <c r="P91" s="0"/>
    </row>
    <row r="92" s="1" customFormat="true" ht="15" hidden="false" customHeight="true" outlineLevel="0" collapsed="false">
      <c r="A92" s="509"/>
      <c r="B92" s="474" t="s">
        <v>180</v>
      </c>
      <c r="C92" s="490" t="str">
        <f aca="false">MUNDIAL!I71</f>
        <v>Francia</v>
      </c>
      <c r="D92" s="500"/>
      <c r="I92" s="494"/>
      <c r="M92" s="488"/>
      <c r="N92" s="485"/>
      <c r="O92" s="0"/>
      <c r="P92" s="0"/>
    </row>
    <row r="93" s="1" customFormat="true" ht="15" hidden="false" customHeight="true" outlineLevel="0" collapsed="false">
      <c r="A93" s="509"/>
      <c r="B93" s="474" t="s">
        <v>180</v>
      </c>
      <c r="C93" s="490" t="str">
        <f aca="false">MUNDIAL!I72</f>
        <v>Inglaterra</v>
      </c>
      <c r="D93" s="500"/>
      <c r="I93" s="494"/>
      <c r="M93" s="488"/>
      <c r="N93" s="485"/>
      <c r="O93" s="0"/>
      <c r="P93" s="0"/>
    </row>
    <row r="94" s="1" customFormat="true" ht="15" hidden="false" customHeight="true" outlineLevel="0" collapsed="false">
      <c r="A94" s="509"/>
      <c r="B94" s="474" t="s">
        <v>180</v>
      </c>
      <c r="C94" s="490" t="str">
        <f aca="false">MUNDIAL!I73</f>
        <v>Japón</v>
      </c>
      <c r="D94" s="500"/>
      <c r="I94" s="494"/>
      <c r="M94" s="488"/>
      <c r="N94" s="485"/>
      <c r="O94" s="0"/>
      <c r="P94" s="0"/>
    </row>
    <row r="95" s="1" customFormat="true" ht="15" hidden="false" customHeight="true" outlineLevel="0" collapsed="false">
      <c r="A95" s="509"/>
      <c r="B95" s="474" t="s">
        <v>180</v>
      </c>
      <c r="C95" s="490" t="str">
        <f aca="false">MUNDIAL!I74</f>
        <v>Brasil</v>
      </c>
      <c r="D95" s="500"/>
      <c r="I95" s="494"/>
      <c r="M95" s="488"/>
      <c r="N95" s="485"/>
      <c r="O95" s="0"/>
      <c r="P95" s="0"/>
    </row>
    <row r="96" s="1" customFormat="true" ht="15" hidden="false" customHeight="true" outlineLevel="0" collapsed="false">
      <c r="A96" s="509"/>
      <c r="B96" s="474" t="s">
        <v>180</v>
      </c>
      <c r="C96" s="490" t="str">
        <f aca="false">MUNDIAL!I75</f>
        <v>Marruecos</v>
      </c>
      <c r="D96" s="500"/>
      <c r="I96" s="494"/>
      <c r="M96" s="488"/>
      <c r="N96" s="485"/>
      <c r="O96" s="0"/>
      <c r="P96" s="0"/>
    </row>
    <row r="97" s="1" customFormat="true" ht="15" hidden="false" customHeight="true" outlineLevel="0" collapsed="false">
      <c r="A97" s="509"/>
      <c r="B97" s="474" t="s">
        <v>180</v>
      </c>
      <c r="C97" s="490" t="str">
        <f aca="false">MUNDIAL!I76</f>
        <v>Portugal</v>
      </c>
      <c r="D97" s="500"/>
      <c r="I97" s="494"/>
      <c r="M97" s="488"/>
      <c r="N97" s="485"/>
      <c r="O97" s="0"/>
      <c r="P97" s="0"/>
    </row>
    <row r="98" s="1" customFormat="true" ht="15" hidden="false" customHeight="true" outlineLevel="0" collapsed="false">
      <c r="A98" s="509"/>
      <c r="B98" s="474" t="s">
        <v>180</v>
      </c>
      <c r="C98" s="490" t="str">
        <f aca="false">MUNDIAL!N69</f>
        <v>Estados unidos</v>
      </c>
      <c r="D98" s="500"/>
      <c r="I98" s="494"/>
      <c r="M98" s="488"/>
      <c r="N98" s="485"/>
      <c r="O98" s="0"/>
      <c r="P98" s="0"/>
    </row>
    <row r="99" s="1" customFormat="true" ht="15" hidden="false" customHeight="true" outlineLevel="0" collapsed="false">
      <c r="A99" s="509"/>
      <c r="B99" s="474" t="s">
        <v>180</v>
      </c>
      <c r="C99" s="490" t="str">
        <f aca="false">MUNDIAL!N70</f>
        <v>Australia</v>
      </c>
      <c r="D99" s="500"/>
      <c r="I99" s="494"/>
      <c r="M99" s="488"/>
      <c r="N99" s="485"/>
      <c r="O99" s="0"/>
      <c r="P99" s="0"/>
    </row>
    <row r="100" s="1" customFormat="true" ht="15" hidden="false" customHeight="true" outlineLevel="0" collapsed="false">
      <c r="A100" s="509"/>
      <c r="B100" s="474" t="s">
        <v>180</v>
      </c>
      <c r="C100" s="490" t="str">
        <f aca="false">MUNDIAL!N71</f>
        <v>Polonia</v>
      </c>
      <c r="D100" s="500"/>
      <c r="I100" s="494"/>
      <c r="M100" s="488"/>
      <c r="N100" s="485"/>
      <c r="O100" s="0"/>
      <c r="P100" s="0"/>
    </row>
    <row r="101" s="1" customFormat="true" ht="15" hidden="false" customHeight="true" outlineLevel="0" collapsed="false">
      <c r="A101" s="509"/>
      <c r="B101" s="474" t="s">
        <v>180</v>
      </c>
      <c r="C101" s="490" t="str">
        <f aca="false">MUNDIAL!N72</f>
        <v>Senegal</v>
      </c>
      <c r="D101" s="500"/>
      <c r="I101" s="494"/>
      <c r="M101" s="488"/>
      <c r="N101" s="485"/>
      <c r="O101" s="0"/>
      <c r="P101" s="0"/>
    </row>
    <row r="102" s="1" customFormat="true" ht="15" hidden="false" customHeight="true" outlineLevel="0" collapsed="false">
      <c r="A102" s="509"/>
      <c r="B102" s="474" t="s">
        <v>180</v>
      </c>
      <c r="C102" s="490" t="str">
        <f aca="false">MUNDIAL!N73</f>
        <v>Croacia</v>
      </c>
      <c r="D102" s="500"/>
      <c r="I102" s="494"/>
      <c r="M102" s="488"/>
      <c r="N102" s="485"/>
      <c r="O102" s="0"/>
      <c r="P102" s="0"/>
    </row>
    <row r="103" s="1" customFormat="true" ht="15" hidden="false" customHeight="true" outlineLevel="0" collapsed="false">
      <c r="A103" s="509"/>
      <c r="B103" s="474" t="s">
        <v>180</v>
      </c>
      <c r="C103" s="490" t="str">
        <f aca="false">MUNDIAL!N74</f>
        <v>Corea del Sur</v>
      </c>
      <c r="D103" s="500"/>
      <c r="I103" s="494"/>
      <c r="M103" s="488"/>
      <c r="N103" s="485"/>
      <c r="O103" s="0"/>
      <c r="P103" s="0"/>
    </row>
    <row r="104" s="1" customFormat="true" ht="15" hidden="false" customHeight="true" outlineLevel="0" collapsed="false">
      <c r="A104" s="509"/>
      <c r="B104" s="474" t="s">
        <v>180</v>
      </c>
      <c r="C104" s="490" t="str">
        <f aca="false">MUNDIAL!N75</f>
        <v>España</v>
      </c>
      <c r="D104" s="500"/>
      <c r="I104" s="494"/>
      <c r="M104" s="488"/>
      <c r="N104" s="485"/>
      <c r="O104" s="0"/>
      <c r="P104" s="0"/>
    </row>
    <row r="105" s="1" customFormat="true" ht="15" hidden="false" customHeight="true" outlineLevel="0" collapsed="false">
      <c r="A105" s="509"/>
      <c r="B105" s="474" t="s">
        <v>180</v>
      </c>
      <c r="C105" s="490" t="str">
        <f aca="false">MUNDIAL!N76</f>
        <v>Suiza</v>
      </c>
      <c r="D105" s="500"/>
      <c r="I105" s="510"/>
      <c r="M105" s="488"/>
      <c r="N105" s="485"/>
      <c r="O105" s="0"/>
      <c r="P105" s="0"/>
    </row>
    <row r="106" customFormat="false" ht="19.9" hidden="false" customHeight="true" outlineLevel="0" collapsed="false">
      <c r="C106" s="490"/>
      <c r="D106" s="1"/>
      <c r="E106" s="511" t="s">
        <v>181</v>
      </c>
      <c r="F106" s="511"/>
      <c r="G106" s="511"/>
      <c r="H106" s="511"/>
      <c r="I106" s="511"/>
      <c r="J106" s="511"/>
      <c r="K106" s="511"/>
      <c r="L106" s="511"/>
      <c r="M106" s="512"/>
      <c r="N106" s="485"/>
    </row>
    <row r="107" customFormat="false" ht="22.9" hidden="false" customHeight="true" outlineLevel="0" collapsed="false">
      <c r="B107" s="480" t="s">
        <v>182</v>
      </c>
      <c r="C107" s="490"/>
      <c r="D107" s="1"/>
      <c r="E107" s="513" t="s">
        <v>183</v>
      </c>
      <c r="F107" s="513"/>
      <c r="G107" s="513"/>
      <c r="H107" s="513"/>
      <c r="I107" s="513"/>
      <c r="J107" s="513"/>
      <c r="K107" s="513"/>
      <c r="L107" s="513"/>
      <c r="M107" s="514"/>
      <c r="N107" s="485"/>
    </row>
    <row r="108" s="1" customFormat="true" ht="15" hidden="false" customHeight="true" outlineLevel="0" collapsed="false">
      <c r="A108" s="509" t="s">
        <v>89</v>
      </c>
      <c r="B108" s="0" t="str">
        <f aca="false">CONCATENATE(MUNDIAL!I69,"-",MUNDIAL!N69)</f>
        <v>Paises Bajos-Estados unidos</v>
      </c>
      <c r="C108" s="490" t="str">
        <f aca="false">CONCATENATE(MUNDIAL!I69,"-",MUNDIAL!N69,"·",IF(MUNDIAL!K69&gt;MUNDIAL!L69,1,IF(MUNDIAL!K69&lt;MUNDIAL!L69,2,IF(AND(MUNDIAL!K69=MUNDIAL!L69,MUNDIAL!K69&lt;&gt;"",MUNDIAL!L69&lt;&gt;""),"X",0))),"|",MUNDIAL!K69,"-",MUNDIAL!L69)</f>
        <v>Paises Bajos-Estados unidos·1|2-1</v>
      </c>
      <c r="D108" s="515" t="s">
        <v>89</v>
      </c>
      <c r="E108" s="492" t="s">
        <v>184</v>
      </c>
      <c r="F108" s="492"/>
      <c r="G108" s="492"/>
      <c r="H108" s="492"/>
      <c r="I108" s="516"/>
      <c r="M108" s="514"/>
      <c r="N108" s="485"/>
      <c r="O108" s="0"/>
      <c r="P108" s="0"/>
    </row>
    <row r="109" s="1" customFormat="true" ht="15" hidden="false" customHeight="true" outlineLevel="0" collapsed="false">
      <c r="A109" s="509"/>
      <c r="B109" s="0" t="str">
        <f aca="false">CONCATENATE(MUNDIAL!I70,"-",MUNDIAL!N70)</f>
        <v>Argentina-Australia</v>
      </c>
      <c r="C109" s="490" t="str">
        <f aca="false">CONCATENATE(MUNDIAL!I70,"-",MUNDIAL!N70,"·",IF(MUNDIAL!K70&gt;MUNDIAL!L70,1,IF(MUNDIAL!K70&lt;MUNDIAL!L70,2,IF(AND(MUNDIAL!K70=MUNDIAL!L70,MUNDIAL!K70&lt;&gt;"",MUNDIAL!L70&lt;&gt;""),"X",0))),"|",MUNDIAL!K70,"-",MUNDIAL!L70)</f>
        <v>Argentina-Australia·1|3-0</v>
      </c>
      <c r="D109" s="515"/>
      <c r="E109" s="492"/>
      <c r="F109" s="492"/>
      <c r="G109" s="492"/>
      <c r="H109" s="492"/>
      <c r="I109" s="516"/>
      <c r="M109" s="514"/>
      <c r="N109" s="485"/>
      <c r="O109" s="0"/>
      <c r="P109" s="0"/>
    </row>
    <row r="110" s="1" customFormat="true" ht="15" hidden="false" customHeight="true" outlineLevel="0" collapsed="false">
      <c r="A110" s="509"/>
      <c r="B110" s="0" t="str">
        <f aca="false">CONCATENATE(MUNDIAL!I71,"-",MUNDIAL!N71)</f>
        <v>Francia-Polonia</v>
      </c>
      <c r="C110" s="490" t="str">
        <f aca="false">CONCATENATE(MUNDIAL!I71,"-",MUNDIAL!N71,"·",IF(MUNDIAL!K71&gt;MUNDIAL!L71,1,IF(MUNDIAL!K71&lt;MUNDIAL!L71,2,IF(AND(MUNDIAL!K71=MUNDIAL!L71,MUNDIAL!K71&lt;&gt;"",MUNDIAL!L71&lt;&gt;""),"X",0))),"|",MUNDIAL!K71,"-",MUNDIAL!L71)</f>
        <v>Francia-Polonia·1|3-0</v>
      </c>
      <c r="D110" s="515"/>
      <c r="E110" s="492"/>
      <c r="F110" s="492"/>
      <c r="G110" s="492"/>
      <c r="H110" s="492"/>
      <c r="I110" s="516"/>
      <c r="M110" s="514"/>
      <c r="N110" s="485"/>
      <c r="O110" s="0"/>
      <c r="P110" s="0"/>
    </row>
    <row r="111" s="1" customFormat="true" ht="15" hidden="false" customHeight="true" outlineLevel="0" collapsed="false">
      <c r="A111" s="509"/>
      <c r="B111" s="0" t="str">
        <f aca="false">CONCATENATE(MUNDIAL!I72,"-",MUNDIAL!N72)</f>
        <v>Inglaterra-Senegal</v>
      </c>
      <c r="C111" s="490" t="str">
        <f aca="false">CONCATENATE(MUNDIAL!I72,"-",MUNDIAL!N72,"·",IF(MUNDIAL!K72&gt;MUNDIAL!L72,1,IF(MUNDIAL!K72&lt;MUNDIAL!L72,2,IF(AND(MUNDIAL!K72=MUNDIAL!L72,MUNDIAL!K72&lt;&gt;"",MUNDIAL!L72&lt;&gt;""),"X",0))),"|",MUNDIAL!K72,"-",MUNDIAL!L72)</f>
        <v>Inglaterra-Senegal·1|3-1</v>
      </c>
      <c r="D111" s="515"/>
      <c r="E111" s="492"/>
      <c r="F111" s="492"/>
      <c r="G111" s="492"/>
      <c r="H111" s="492"/>
      <c r="I111" s="516"/>
      <c r="M111" s="514"/>
      <c r="N111" s="485"/>
      <c r="O111" s="0"/>
      <c r="P111" s="0"/>
    </row>
    <row r="112" s="1" customFormat="true" ht="15" hidden="false" customHeight="true" outlineLevel="0" collapsed="false">
      <c r="A112" s="509"/>
      <c r="B112" s="0" t="str">
        <f aca="false">CONCATENATE(MUNDIAL!I73,"-",MUNDIAL!N73)</f>
        <v>Japón-Croacia</v>
      </c>
      <c r="C112" s="490" t="str">
        <f aca="false">CONCATENATE(MUNDIAL!I73,"-",MUNDIAL!N73,"·",IF(MUNDIAL!K73&gt;MUNDIAL!L73,1,IF(MUNDIAL!K73&lt;MUNDIAL!L73,2,IF(AND(MUNDIAL!K73=MUNDIAL!L73,MUNDIAL!K73&lt;&gt;"",MUNDIAL!L73&lt;&gt;""),"X",0))),"|",MUNDIAL!K73,"-",MUNDIAL!L73)</f>
        <v>Japón-Croacia·2|1-2</v>
      </c>
      <c r="D112" s="515"/>
      <c r="I112" s="516"/>
      <c r="M112" s="514"/>
      <c r="N112" s="485"/>
      <c r="O112" s="0"/>
      <c r="P112" s="0"/>
    </row>
    <row r="113" s="1" customFormat="true" ht="15" hidden="false" customHeight="true" outlineLevel="0" collapsed="false">
      <c r="A113" s="509"/>
      <c r="B113" s="0" t="str">
        <f aca="false">CONCATENATE(MUNDIAL!I74,"-",MUNDIAL!N74)</f>
        <v>Brasil-Corea del Sur</v>
      </c>
      <c r="C113" s="490" t="str">
        <f aca="false">CONCATENATE(MUNDIAL!I74,"-",MUNDIAL!N74,"·",IF(MUNDIAL!K74&gt;MUNDIAL!L74,1,IF(MUNDIAL!K74&lt;MUNDIAL!L74,2,IF(AND(MUNDIAL!K74=MUNDIAL!L74,MUNDIAL!K74&lt;&gt;"",MUNDIAL!L74&lt;&gt;""),"X",0))),"|",MUNDIAL!K74,"-",MUNDIAL!L74)</f>
        <v>Brasil-Corea del Sur·1|2-0</v>
      </c>
      <c r="D113" s="515"/>
      <c r="I113" s="516"/>
      <c r="M113" s="514"/>
      <c r="N113" s="485"/>
      <c r="O113" s="0"/>
      <c r="P113" s="0"/>
    </row>
    <row r="114" s="1" customFormat="true" ht="15" hidden="false" customHeight="true" outlineLevel="0" collapsed="false">
      <c r="A114" s="509"/>
      <c r="B114" s="0" t="str">
        <f aca="false">CONCATENATE(MUNDIAL!I75,"-",MUNDIAL!N75)</f>
        <v>Marruecos-España</v>
      </c>
      <c r="C114" s="490" t="str">
        <f aca="false">CONCATENATE(MUNDIAL!I75,"-",MUNDIAL!N75,"·",IF(MUNDIAL!K75&gt;MUNDIAL!L75,1,IF(MUNDIAL!K75&lt;MUNDIAL!L75,2,IF(AND(MUNDIAL!K75=MUNDIAL!L75,MUNDIAL!K75&lt;&gt;"",MUNDIAL!L75&lt;&gt;""),"X",0))),"|",MUNDIAL!K75,"-",MUNDIAL!L75)</f>
        <v>Marruecos-España·2|1-3</v>
      </c>
      <c r="D114" s="515"/>
      <c r="I114" s="516"/>
      <c r="M114" s="514"/>
      <c r="N114" s="485"/>
      <c r="O114" s="0"/>
      <c r="P114" s="0"/>
    </row>
    <row r="115" s="1" customFormat="true" ht="15" hidden="false" customHeight="true" outlineLevel="0" collapsed="false">
      <c r="A115" s="509"/>
      <c r="B115" s="0" t="str">
        <f aca="false">CONCATENATE(MUNDIAL!I76,"-",MUNDIAL!N76)</f>
        <v>Portugal-Suiza</v>
      </c>
      <c r="C115" s="490" t="str">
        <f aca="false">CONCATENATE(MUNDIAL!I76,"-",MUNDIAL!N76,"·",IF(MUNDIAL!K76&gt;MUNDIAL!L76,1,IF(MUNDIAL!K76&lt;MUNDIAL!L76,2,IF(AND(MUNDIAL!K76=MUNDIAL!L76,MUNDIAL!K76&lt;&gt;"",MUNDIAL!L76&lt;&gt;""),"X",0))),"|",MUNDIAL!K76,"-",MUNDIAL!L76)</f>
        <v>Portugal-Suiza·1|3-2</v>
      </c>
      <c r="D115" s="515"/>
      <c r="I115" s="516"/>
      <c r="M115" s="514"/>
      <c r="N115" s="485"/>
      <c r="O115" s="0"/>
      <c r="P115" s="0"/>
    </row>
    <row r="116" s="1" customFormat="true" ht="15" hidden="false" customHeight="true" outlineLevel="0" collapsed="false">
      <c r="A116" s="0"/>
      <c r="B116" s="0"/>
      <c r="C116" s="490"/>
      <c r="D116" s="515"/>
      <c r="I116" s="516"/>
      <c r="M116" s="514"/>
      <c r="N116" s="485"/>
      <c r="O116" s="0"/>
      <c r="P116" s="0"/>
    </row>
    <row r="117" s="1" customFormat="true" ht="19.15" hidden="false" customHeight="true" outlineLevel="0" collapsed="false">
      <c r="A117" s="0"/>
      <c r="B117" s="480" t="s">
        <v>185</v>
      </c>
      <c r="C117" s="490"/>
      <c r="D117" s="515"/>
      <c r="I117" s="516"/>
      <c r="M117" s="514"/>
      <c r="N117" s="485"/>
      <c r="O117" s="0"/>
      <c r="P117" s="0"/>
    </row>
    <row r="118" s="1" customFormat="true" ht="15" hidden="false" customHeight="true" outlineLevel="0" collapsed="false">
      <c r="A118" s="509" t="s">
        <v>91</v>
      </c>
      <c r="B118" s="474" t="s">
        <v>186</v>
      </c>
      <c r="C118" s="490" t="str">
        <f aca="false">MUNDIAL!I80</f>
        <v>Croacia</v>
      </c>
      <c r="D118" s="515"/>
      <c r="I118" s="516"/>
      <c r="M118" s="514"/>
      <c r="N118" s="485"/>
      <c r="O118" s="0"/>
      <c r="P118" s="0"/>
    </row>
    <row r="119" s="1" customFormat="true" ht="15" hidden="false" customHeight="true" outlineLevel="0" collapsed="false">
      <c r="A119" s="509"/>
      <c r="B119" s="474" t="s">
        <v>186</v>
      </c>
      <c r="C119" s="490" t="str">
        <f aca="false">MUNDIAL!I81</f>
        <v>Paises Bajos</v>
      </c>
      <c r="D119" s="515"/>
      <c r="I119" s="516"/>
      <c r="M119" s="514"/>
      <c r="N119" s="485"/>
      <c r="O119" s="0"/>
      <c r="P119" s="0"/>
    </row>
    <row r="120" s="1" customFormat="true" ht="15" hidden="false" customHeight="true" outlineLevel="0" collapsed="false">
      <c r="A120" s="509"/>
      <c r="B120" s="474" t="s">
        <v>186</v>
      </c>
      <c r="C120" s="490" t="str">
        <f aca="false">MUNDIAL!I82</f>
        <v>España</v>
      </c>
      <c r="D120" s="515"/>
      <c r="I120" s="516"/>
      <c r="M120" s="514"/>
      <c r="N120" s="485"/>
      <c r="O120" s="0"/>
      <c r="P120" s="0"/>
    </row>
    <row r="121" s="1" customFormat="true" ht="15" hidden="false" customHeight="true" outlineLevel="0" collapsed="false">
      <c r="A121" s="509"/>
      <c r="B121" s="474" t="s">
        <v>186</v>
      </c>
      <c r="C121" s="490" t="str">
        <f aca="false">MUNDIAL!I83</f>
        <v>Inglaterra</v>
      </c>
      <c r="D121" s="515"/>
      <c r="I121" s="516"/>
      <c r="M121" s="514"/>
      <c r="N121" s="485"/>
      <c r="O121" s="0"/>
      <c r="P121" s="0"/>
    </row>
    <row r="122" s="1" customFormat="true" ht="15" hidden="false" customHeight="true" outlineLevel="0" collapsed="false">
      <c r="A122" s="509"/>
      <c r="B122" s="474" t="s">
        <v>186</v>
      </c>
      <c r="C122" s="490" t="str">
        <f aca="false">MUNDIAL!N80</f>
        <v>Brasil</v>
      </c>
      <c r="D122" s="515"/>
      <c r="I122" s="516"/>
      <c r="M122" s="514"/>
      <c r="N122" s="485"/>
      <c r="O122" s="0"/>
      <c r="P122" s="0"/>
    </row>
    <row r="123" s="1" customFormat="true" ht="15" hidden="false" customHeight="true" outlineLevel="0" collapsed="false">
      <c r="A123" s="509"/>
      <c r="B123" s="474" t="s">
        <v>186</v>
      </c>
      <c r="C123" s="490" t="str">
        <f aca="false">MUNDIAL!N81</f>
        <v>Argentina</v>
      </c>
      <c r="D123" s="515"/>
      <c r="I123" s="516"/>
      <c r="M123" s="514"/>
      <c r="N123" s="485"/>
      <c r="O123" s="0"/>
      <c r="P123" s="0"/>
    </row>
    <row r="124" s="1" customFormat="true" ht="15" hidden="false" customHeight="true" outlineLevel="0" collapsed="false">
      <c r="A124" s="509"/>
      <c r="B124" s="474" t="s">
        <v>186</v>
      </c>
      <c r="C124" s="490" t="str">
        <f aca="false">MUNDIAL!N82</f>
        <v>Portugal</v>
      </c>
      <c r="D124" s="515"/>
      <c r="I124" s="516"/>
      <c r="M124" s="514"/>
      <c r="N124" s="485"/>
      <c r="O124" s="0"/>
      <c r="P124" s="0"/>
    </row>
    <row r="125" s="1" customFormat="true" ht="15" hidden="false" customHeight="true" outlineLevel="0" collapsed="false">
      <c r="A125" s="509"/>
      <c r="B125" s="474" t="s">
        <v>186</v>
      </c>
      <c r="C125" s="490" t="str">
        <f aca="false">MUNDIAL!N83</f>
        <v>Francia</v>
      </c>
      <c r="D125" s="515"/>
      <c r="E125" s="517"/>
      <c r="F125" s="517"/>
      <c r="G125" s="517"/>
      <c r="H125" s="517"/>
      <c r="I125" s="516"/>
      <c r="M125" s="514"/>
      <c r="N125" s="485"/>
      <c r="O125" s="0"/>
      <c r="P125" s="0"/>
    </row>
    <row r="126" s="1" customFormat="true" ht="15" hidden="false" customHeight="false" outlineLevel="0" collapsed="false">
      <c r="A126" s="0"/>
      <c r="B126" s="0"/>
      <c r="C126" s="490"/>
      <c r="I126" s="518"/>
      <c r="M126" s="514"/>
      <c r="N126" s="485"/>
      <c r="O126" s="0"/>
      <c r="P126" s="0"/>
    </row>
    <row r="127" s="1" customFormat="true" ht="19.15" hidden="false" customHeight="true" outlineLevel="0" collapsed="false">
      <c r="A127" s="0"/>
      <c r="B127" s="480" t="s">
        <v>187</v>
      </c>
      <c r="C127" s="490"/>
      <c r="I127" s="519"/>
      <c r="M127" s="514"/>
      <c r="N127" s="485"/>
      <c r="O127" s="0"/>
      <c r="P127" s="0"/>
    </row>
    <row r="128" s="1" customFormat="true" ht="15" hidden="false" customHeight="true" outlineLevel="0" collapsed="false">
      <c r="A128" s="509" t="s">
        <v>91</v>
      </c>
      <c r="B128" s="0" t="str">
        <f aca="false">CONCATENATE(MUNDIAL!I80,"-",MUNDIAL!N80)</f>
        <v>Croacia-Brasil</v>
      </c>
      <c r="C128" s="490" t="str">
        <f aca="false">CONCATENATE(MUNDIAL!I80,"-",MUNDIAL!N80,"·",IF(MUNDIAL!K80&gt;MUNDIAL!L80,1,IF(MUNDIAL!K80&lt;MUNDIAL!L80,2,IF(AND(MUNDIAL!K80=MUNDIAL!L80,MUNDIAL!K80&lt;&gt;"",MUNDIAL!L80&lt;&gt;""),"X",0))),"|",MUNDIAL!K80,"-",MUNDIAL!L80)</f>
        <v>Croacia-Brasil·0|-</v>
      </c>
      <c r="D128" s="515" t="s">
        <v>91</v>
      </c>
      <c r="E128" s="499" t="s">
        <v>188</v>
      </c>
      <c r="F128" s="499"/>
      <c r="G128" s="499"/>
      <c r="H128" s="499"/>
      <c r="I128" s="516"/>
      <c r="M128" s="514"/>
      <c r="N128" s="485"/>
      <c r="O128" s="0"/>
      <c r="P128" s="0"/>
    </row>
    <row r="129" s="1" customFormat="true" ht="15" hidden="false" customHeight="true" outlineLevel="0" collapsed="false">
      <c r="A129" s="509"/>
      <c r="B129" s="0" t="str">
        <f aca="false">CONCATENATE(MUNDIAL!I81,"-",MUNDIAL!N81)</f>
        <v>Paises Bajos-Argentina</v>
      </c>
      <c r="C129" s="490" t="str">
        <f aca="false">CONCATENATE(MUNDIAL!I81,"-",MUNDIAL!N81,"·",IF(MUNDIAL!K81&gt;MUNDIAL!L81,1,IF(MUNDIAL!K81&lt;MUNDIAL!L81,2,IF(AND(MUNDIAL!K81=MUNDIAL!L81,MUNDIAL!K81&lt;&gt;"",MUNDIAL!L81&lt;&gt;""),"X",0))),"|",MUNDIAL!K81,"-",MUNDIAL!L81)</f>
        <v>Paises Bajos-Argentina·0|-</v>
      </c>
      <c r="D129" s="515"/>
      <c r="E129" s="499"/>
      <c r="F129" s="499"/>
      <c r="G129" s="499"/>
      <c r="H129" s="499"/>
      <c r="I129" s="516"/>
      <c r="M129" s="514"/>
      <c r="N129" s="485"/>
      <c r="O129" s="0"/>
      <c r="P129" s="0"/>
    </row>
    <row r="130" s="1" customFormat="true" ht="15" hidden="false" customHeight="true" outlineLevel="0" collapsed="false">
      <c r="A130" s="509"/>
      <c r="B130" s="0" t="str">
        <f aca="false">CONCATENATE(MUNDIAL!I82,"-",MUNDIAL!N82)</f>
        <v>España-Portugal</v>
      </c>
      <c r="C130" s="490" t="str">
        <f aca="false">CONCATENATE(MUNDIAL!I82,"-",MUNDIAL!N82,"·",IF(MUNDIAL!K82&gt;MUNDIAL!L82,1,IF(MUNDIAL!K82&lt;MUNDIAL!L82,2,IF(AND(MUNDIAL!K82=MUNDIAL!L82,MUNDIAL!K82&lt;&gt;"",MUNDIAL!L82&lt;&gt;""),"X",0))),"|",MUNDIAL!K82,"-",MUNDIAL!L82)</f>
        <v>España-Portugal·0|-</v>
      </c>
      <c r="D130" s="515"/>
      <c r="E130" s="499"/>
      <c r="F130" s="499"/>
      <c r="G130" s="499"/>
      <c r="H130" s="499"/>
      <c r="I130" s="516"/>
      <c r="M130" s="514"/>
      <c r="N130" s="485"/>
      <c r="O130" s="0"/>
      <c r="P130" s="0"/>
    </row>
    <row r="131" s="1" customFormat="true" ht="15" hidden="false" customHeight="true" outlineLevel="0" collapsed="false">
      <c r="A131" s="509"/>
      <c r="B131" s="0" t="str">
        <f aca="false">CONCATENATE(MUNDIAL!I83,"-",MUNDIAL!N83)</f>
        <v>Inglaterra-Francia</v>
      </c>
      <c r="C131" s="490" t="str">
        <f aca="false">CONCATENATE(MUNDIAL!I83,"-",MUNDIAL!N83,"·",IF(MUNDIAL!K83&gt;MUNDIAL!L83,1,IF(MUNDIAL!K83&lt;MUNDIAL!L83,2,IF(AND(MUNDIAL!K83=MUNDIAL!L83,MUNDIAL!K83&lt;&gt;"",MUNDIAL!L83&lt;&gt;""),"X",0))),"|",MUNDIAL!K83,"-",MUNDIAL!L83)</f>
        <v>Inglaterra-Francia·0|-</v>
      </c>
      <c r="D131" s="515"/>
      <c r="E131" s="499"/>
      <c r="F131" s="499"/>
      <c r="G131" s="499"/>
      <c r="H131" s="499"/>
      <c r="I131" s="516"/>
      <c r="M131" s="514"/>
      <c r="N131" s="485"/>
      <c r="O131" s="0"/>
      <c r="P131" s="0"/>
    </row>
    <row r="132" s="1" customFormat="true" ht="15" hidden="false" customHeight="false" outlineLevel="0" collapsed="false">
      <c r="A132" s="0"/>
      <c r="B132" s="0"/>
      <c r="C132" s="490"/>
      <c r="D132" s="515"/>
      <c r="I132" s="516"/>
      <c r="M132" s="514"/>
      <c r="N132" s="485"/>
      <c r="O132" s="0"/>
      <c r="P132" s="0"/>
    </row>
    <row r="133" s="1" customFormat="true" ht="18.75" hidden="false" customHeight="false" outlineLevel="0" collapsed="false">
      <c r="A133" s="0"/>
      <c r="B133" s="480" t="s">
        <v>189</v>
      </c>
      <c r="C133" s="490"/>
      <c r="D133" s="515"/>
      <c r="I133" s="516"/>
      <c r="M133" s="514"/>
      <c r="N133" s="485"/>
      <c r="O133" s="0"/>
      <c r="P133" s="0"/>
    </row>
    <row r="134" s="1" customFormat="true" ht="15" hidden="false" customHeight="false" outlineLevel="0" collapsed="false">
      <c r="A134" s="509" t="s">
        <v>93</v>
      </c>
      <c r="B134" s="474" t="s">
        <v>190</v>
      </c>
      <c r="C134" s="490" t="str">
        <f aca="false">MUNDIAL!I86</f>
        <v>W57</v>
      </c>
      <c r="D134" s="515"/>
      <c r="I134" s="516"/>
      <c r="M134" s="514"/>
      <c r="N134" s="485"/>
      <c r="O134" s="0"/>
      <c r="P134" s="0"/>
    </row>
    <row r="135" s="1" customFormat="true" ht="15" hidden="false" customHeight="false" outlineLevel="0" collapsed="false">
      <c r="A135" s="509"/>
      <c r="B135" s="474" t="s">
        <v>190</v>
      </c>
      <c r="C135" s="490" t="str">
        <f aca="false">MUNDIAL!I87</f>
        <v>W59</v>
      </c>
      <c r="D135" s="515"/>
      <c r="I135" s="516"/>
      <c r="M135" s="514"/>
      <c r="N135" s="485"/>
      <c r="O135" s="0"/>
      <c r="P135" s="0"/>
    </row>
    <row r="136" s="1" customFormat="true" ht="15" hidden="false" customHeight="false" outlineLevel="0" collapsed="false">
      <c r="A136" s="509"/>
      <c r="B136" s="474" t="s">
        <v>190</v>
      </c>
      <c r="C136" s="490" t="str">
        <f aca="false">MUNDIAL!N86</f>
        <v>W58</v>
      </c>
      <c r="D136" s="515"/>
      <c r="I136" s="516"/>
      <c r="M136" s="514"/>
      <c r="N136" s="485"/>
      <c r="O136" s="0"/>
      <c r="P136" s="0"/>
    </row>
    <row r="137" s="1" customFormat="true" ht="15" hidden="false" customHeight="false" outlineLevel="0" collapsed="false">
      <c r="A137" s="509"/>
      <c r="B137" s="474" t="s">
        <v>190</v>
      </c>
      <c r="C137" s="490" t="str">
        <f aca="false">MUNDIAL!N87</f>
        <v>W60</v>
      </c>
      <c r="D137" s="515"/>
      <c r="E137" s="517"/>
      <c r="F137" s="517"/>
      <c r="G137" s="517"/>
      <c r="H137" s="517"/>
      <c r="I137" s="516"/>
      <c r="M137" s="514"/>
      <c r="N137" s="485"/>
      <c r="O137" s="0"/>
      <c r="P137" s="0"/>
    </row>
    <row r="138" s="1" customFormat="true" ht="15" hidden="false" customHeight="false" outlineLevel="0" collapsed="false">
      <c r="A138" s="0"/>
      <c r="B138" s="0"/>
      <c r="C138" s="490"/>
      <c r="I138" s="518"/>
      <c r="M138" s="514"/>
      <c r="N138" s="485"/>
      <c r="O138" s="0"/>
      <c r="P138" s="0"/>
    </row>
    <row r="139" s="1" customFormat="true" ht="19.15" hidden="false" customHeight="true" outlineLevel="0" collapsed="false">
      <c r="A139" s="0"/>
      <c r="B139" s="480" t="s">
        <v>191</v>
      </c>
      <c r="C139" s="490"/>
      <c r="I139" s="519"/>
      <c r="M139" s="514"/>
      <c r="N139" s="485"/>
      <c r="O139" s="0"/>
      <c r="P139" s="0"/>
    </row>
    <row r="140" s="1" customFormat="true" ht="15" hidden="false" customHeight="true" outlineLevel="0" collapsed="false">
      <c r="A140" s="520" t="s">
        <v>93</v>
      </c>
      <c r="B140" s="0" t="str">
        <f aca="false">CONCATENATE(MUNDIAL!I86,"-",MUNDIAL!N86)</f>
        <v>W57-W58</v>
      </c>
      <c r="C140" s="490" t="str">
        <f aca="false">CONCATENATE(MUNDIAL!I86,"-",MUNDIAL!N86,"·",IF(MUNDIAL!K86&gt;MUNDIAL!L86,1,IF(MUNDIAL!K86&lt;MUNDIAL!L86,2,IF(AND(MUNDIAL!K86=MUNDIAL!L86,MUNDIAL!K86&lt;&gt;"",MUNDIAL!L86&lt;&gt;""),"X",0))),"|",MUNDIAL!K86,"-",MUNDIAL!L86)</f>
        <v>W57-W58·0|-</v>
      </c>
      <c r="D140" s="515" t="s">
        <v>93</v>
      </c>
      <c r="E140" s="521" t="s">
        <v>192</v>
      </c>
      <c r="F140" s="521"/>
      <c r="G140" s="521"/>
      <c r="H140" s="521"/>
      <c r="I140" s="516"/>
      <c r="M140" s="514"/>
      <c r="N140" s="485"/>
      <c r="O140" s="0"/>
      <c r="P140" s="0"/>
    </row>
    <row r="141" s="1" customFormat="true" ht="15" hidden="false" customHeight="true" outlineLevel="0" collapsed="false">
      <c r="A141" s="520"/>
      <c r="B141" s="0" t="str">
        <f aca="false">CONCATENATE(MUNDIAL!I87,"-",MUNDIAL!N87)</f>
        <v>W59-W60</v>
      </c>
      <c r="C141" s="490" t="str">
        <f aca="false">CONCATENATE(MUNDIAL!I87,"-",MUNDIAL!N87,"·",IF(MUNDIAL!K87&gt;MUNDIAL!L87,1,IF(MUNDIAL!K87&lt;MUNDIAL!L87,2,IF(AND(MUNDIAL!K87=MUNDIAL!L87,MUNDIAL!K87&lt;&gt;"",MUNDIAL!L87&lt;&gt;""),"X",0))),"|",MUNDIAL!K87,"-",MUNDIAL!L87)</f>
        <v>W59-W60·0|-</v>
      </c>
      <c r="D141" s="515"/>
      <c r="E141" s="521"/>
      <c r="F141" s="521"/>
      <c r="G141" s="521"/>
      <c r="H141" s="521"/>
      <c r="I141" s="516"/>
      <c r="M141" s="514"/>
      <c r="N141" s="485"/>
      <c r="O141" s="0"/>
      <c r="P141" s="0"/>
    </row>
    <row r="142" customFormat="false" ht="15" hidden="false" customHeight="true" outlineLevel="0" collapsed="false">
      <c r="C142" s="490"/>
      <c r="D142" s="515"/>
      <c r="E142" s="521"/>
      <c r="F142" s="521"/>
      <c r="G142" s="521"/>
      <c r="H142" s="521"/>
      <c r="I142" s="516"/>
      <c r="J142" s="1"/>
      <c r="K142" s="1"/>
      <c r="L142" s="1"/>
      <c r="M142" s="514"/>
      <c r="N142" s="485"/>
    </row>
    <row r="143" customFormat="false" ht="15" hidden="false" customHeight="true" outlineLevel="0" collapsed="false">
      <c r="B143" s="480" t="s">
        <v>193</v>
      </c>
      <c r="C143" s="490"/>
      <c r="D143" s="515"/>
      <c r="E143" s="521"/>
      <c r="F143" s="521"/>
      <c r="G143" s="521"/>
      <c r="H143" s="521"/>
      <c r="I143" s="516"/>
      <c r="J143" s="1"/>
      <c r="K143" s="1"/>
      <c r="L143" s="1"/>
      <c r="M143" s="514"/>
      <c r="N143" s="485"/>
    </row>
    <row r="144" s="1" customFormat="true" ht="15" hidden="false" customHeight="true" outlineLevel="0" collapsed="false">
      <c r="A144" s="520" t="s">
        <v>95</v>
      </c>
      <c r="B144" s="474" t="s">
        <v>194</v>
      </c>
      <c r="C144" s="490" t="str">
        <f aca="false">MUNDIAL!I90</f>
        <v>L61</v>
      </c>
      <c r="D144" s="515"/>
      <c r="I144" s="516"/>
      <c r="M144" s="514"/>
      <c r="N144" s="485"/>
      <c r="O144" s="0"/>
      <c r="P144" s="0"/>
    </row>
    <row r="145" s="1" customFormat="true" ht="15" hidden="false" customHeight="true" outlineLevel="0" collapsed="false">
      <c r="A145" s="520"/>
      <c r="B145" s="474" t="s">
        <v>194</v>
      </c>
      <c r="C145" s="490" t="str">
        <f aca="false">MUNDIAL!N90</f>
        <v>L62</v>
      </c>
      <c r="D145" s="515"/>
      <c r="I145" s="516"/>
      <c r="M145" s="514"/>
      <c r="N145" s="485"/>
      <c r="O145" s="0"/>
      <c r="P145" s="0"/>
    </row>
    <row r="146" s="1" customFormat="true" ht="15" hidden="false" customHeight="true" outlineLevel="0" collapsed="false">
      <c r="A146" s="0"/>
      <c r="B146" s="0"/>
      <c r="C146" s="490"/>
      <c r="D146" s="515"/>
      <c r="I146" s="516"/>
      <c r="M146" s="514"/>
      <c r="N146" s="485"/>
      <c r="O146" s="0"/>
      <c r="P146" s="0"/>
    </row>
    <row r="147" s="1" customFormat="true" ht="19.15" hidden="false" customHeight="true" outlineLevel="0" collapsed="false">
      <c r="A147" s="0"/>
      <c r="B147" s="480" t="s">
        <v>195</v>
      </c>
      <c r="C147" s="490"/>
      <c r="D147" s="515"/>
      <c r="I147" s="516"/>
      <c r="M147" s="514"/>
      <c r="N147" s="485"/>
      <c r="O147" s="0"/>
      <c r="P147" s="0"/>
    </row>
    <row r="148" s="1" customFormat="true" ht="22.15" hidden="false" customHeight="true" outlineLevel="0" collapsed="false">
      <c r="A148" s="520" t="s">
        <v>85</v>
      </c>
      <c r="B148" s="474" t="s">
        <v>196</v>
      </c>
      <c r="C148" s="490" t="str">
        <f aca="false">MUNDIAL!I93</f>
        <v>W61</v>
      </c>
      <c r="D148" s="515"/>
      <c r="I148" s="516"/>
      <c r="M148" s="514"/>
      <c r="N148" s="485"/>
      <c r="O148" s="0"/>
      <c r="P148" s="0"/>
    </row>
    <row r="149" s="1" customFormat="true" ht="15" hidden="false" customHeight="true" outlineLevel="0" collapsed="false">
      <c r="A149" s="520"/>
      <c r="B149" s="474" t="s">
        <v>196</v>
      </c>
      <c r="C149" s="490" t="str">
        <f aca="false">MUNDIAL!N93</f>
        <v>W62</v>
      </c>
      <c r="D149" s="515"/>
      <c r="E149" s="517"/>
      <c r="F149" s="517"/>
      <c r="G149" s="517"/>
      <c r="H149" s="522"/>
      <c r="I149" s="523"/>
      <c r="M149" s="514"/>
      <c r="N149" s="485"/>
      <c r="O149" s="0"/>
      <c r="P149" s="0"/>
    </row>
    <row r="150" s="1" customFormat="true" ht="15" hidden="false" customHeight="false" outlineLevel="0" collapsed="false">
      <c r="A150" s="0"/>
      <c r="B150" s="0"/>
      <c r="C150" s="490"/>
      <c r="I150" s="518"/>
      <c r="M150" s="514"/>
      <c r="N150" s="485"/>
      <c r="O150" s="0"/>
      <c r="P150" s="0"/>
    </row>
    <row r="151" customFormat="false" ht="15" hidden="false" customHeight="true" outlineLevel="0" collapsed="false">
      <c r="B151" s="480" t="s">
        <v>197</v>
      </c>
      <c r="C151" s="490"/>
      <c r="D151" s="524" t="s">
        <v>198</v>
      </c>
      <c r="E151" s="521" t="s">
        <v>199</v>
      </c>
      <c r="F151" s="521"/>
      <c r="G151" s="521"/>
      <c r="H151" s="521"/>
      <c r="I151" s="494"/>
      <c r="J151" s="1"/>
      <c r="K151" s="1"/>
      <c r="L151" s="1"/>
      <c r="M151" s="514"/>
      <c r="N151" s="485"/>
    </row>
    <row r="152" s="1" customFormat="true" ht="21" hidden="false" customHeight="false" outlineLevel="0" collapsed="false">
      <c r="A152" s="525" t="s">
        <v>85</v>
      </c>
      <c r="B152" s="0" t="str">
        <f aca="false">CONCATENATE(MUNDIAL!I90,"-",MUNDIAL!N90)</f>
        <v>L61-L62</v>
      </c>
      <c r="C152" s="490" t="str">
        <f aca="false">CONCATENATE(MUNDIAL!I90,"-",MUNDIAL!N90,"·",IF(MUNDIAL!K90&gt;MUNDIAL!L90,1,IF(MUNDIAL!K90&lt;MUNDIAL!L90,2,IF(AND(MUNDIAL!K90=MUNDIAL!L90,MUNDIAL!K90&lt;&gt;"",MUNDIAL!L90&lt;&gt;""),"X",0))),"|",MUNDIAL!K90,"-",MUNDIAL!L90)</f>
        <v>L61-L62·0|-</v>
      </c>
      <c r="D152" s="524"/>
      <c r="E152" s="521"/>
      <c r="F152" s="521"/>
      <c r="G152" s="521"/>
      <c r="H152" s="521"/>
      <c r="I152" s="494"/>
      <c r="M152" s="514"/>
      <c r="N152" s="485"/>
      <c r="O152" s="0"/>
      <c r="P152" s="0"/>
    </row>
    <row r="153" customFormat="false" ht="15" hidden="false" customHeight="false" outlineLevel="0" collapsed="false">
      <c r="C153" s="490"/>
      <c r="D153" s="524"/>
      <c r="E153" s="521"/>
      <c r="F153" s="521"/>
      <c r="G153" s="521"/>
      <c r="H153" s="521"/>
      <c r="I153" s="494"/>
      <c r="J153" s="1"/>
      <c r="K153" s="1"/>
      <c r="L153" s="1"/>
      <c r="M153" s="514"/>
      <c r="N153" s="485"/>
    </row>
    <row r="154" s="1" customFormat="true" ht="21" hidden="false" customHeight="true" outlineLevel="0" collapsed="false">
      <c r="A154" s="0"/>
      <c r="B154" s="480" t="s">
        <v>200</v>
      </c>
      <c r="C154" s="490"/>
      <c r="D154" s="524"/>
      <c r="H154" s="526"/>
      <c r="I154" s="494"/>
      <c r="M154" s="514"/>
      <c r="N154" s="485"/>
      <c r="O154" s="0"/>
      <c r="P154" s="0"/>
    </row>
    <row r="155" s="1" customFormat="true" ht="21" hidden="false" customHeight="true" outlineLevel="0" collapsed="false">
      <c r="A155" s="525" t="s">
        <v>85</v>
      </c>
      <c r="B155" s="0" t="str">
        <f aca="false">CONCATENATE(MUNDIAL!I93,"-",MUNDIAL!N93)</f>
        <v>W61-W62</v>
      </c>
      <c r="C155" s="490" t="str">
        <f aca="false">CONCATENATE(MUNDIAL!I93,"-",MUNDIAL!N93,"·",IF(MUNDIAL!K93&gt;MUNDIAL!L93,1,IF(MUNDIAL!K93&lt;MUNDIAL!L93,2,IF(AND(MUNDIAL!K93=MUNDIAL!L93,MUNDIAL!K93&lt;&gt;"",MUNDIAL!L93&lt;&gt;""),"X",0))),"|",MUNDIAL!K93,"-",MUNDIAL!L93)</f>
        <v>W61-W62·0|-</v>
      </c>
      <c r="D155" s="524"/>
      <c r="H155" s="526"/>
      <c r="I155" s="494"/>
      <c r="M155" s="514"/>
      <c r="N155" s="485"/>
      <c r="O155" s="0"/>
      <c r="P155" s="0"/>
    </row>
    <row r="156" s="1" customFormat="true" ht="15" hidden="false" customHeight="true" outlineLevel="0" collapsed="false">
      <c r="A156" s="0"/>
      <c r="B156" s="474"/>
      <c r="C156" s="490"/>
      <c r="D156" s="524"/>
      <c r="H156" s="526"/>
      <c r="I156" s="494"/>
      <c r="M156" s="514"/>
      <c r="N156" s="485"/>
      <c r="O156" s="0"/>
      <c r="P156" s="0"/>
    </row>
    <row r="157" s="1" customFormat="true" ht="19.15" hidden="false" customHeight="true" outlineLevel="0" collapsed="false">
      <c r="A157" s="0"/>
      <c r="B157" s="480" t="s">
        <v>97</v>
      </c>
      <c r="C157" s="490"/>
      <c r="D157" s="524"/>
      <c r="H157" s="526"/>
      <c r="I157" s="494"/>
      <c r="M157" s="514"/>
      <c r="N157" s="485"/>
      <c r="O157" s="0"/>
      <c r="P157" s="0"/>
    </row>
    <row r="158" s="1" customFormat="true" ht="19.15" hidden="false" customHeight="true" outlineLevel="0" collapsed="false">
      <c r="A158" s="527"/>
      <c r="B158" s="474" t="str">
        <f aca="false">MUNDIAL!E97</f>
        <v>Campeón</v>
      </c>
      <c r="C158" s="490" t="str">
        <f aca="false">MUNDIAL!I97</f>
        <v>WF</v>
      </c>
      <c r="D158" s="524"/>
      <c r="H158" s="526"/>
      <c r="I158" s="494"/>
      <c r="M158" s="514"/>
      <c r="N158" s="485"/>
      <c r="O158" s="0"/>
      <c r="P158" s="0"/>
    </row>
    <row r="159" s="1" customFormat="true" ht="16.15" hidden="false" customHeight="true" outlineLevel="0" collapsed="false">
      <c r="A159" s="450"/>
      <c r="B159" s="474" t="str">
        <f aca="false">MUNDIAL!E98</f>
        <v>Subcampeón</v>
      </c>
      <c r="C159" s="490" t="str">
        <f aca="false">MUNDIAL!I98</f>
        <v>LF</v>
      </c>
      <c r="D159" s="524"/>
      <c r="H159" s="526"/>
      <c r="I159" s="523"/>
      <c r="J159" s="528"/>
      <c r="K159" s="529"/>
      <c r="L159" s="529"/>
      <c r="M159" s="514"/>
      <c r="N159" s="485"/>
      <c r="O159" s="0"/>
      <c r="P159" s="0"/>
    </row>
    <row r="160" customFormat="false" ht="19.15" hidden="false" customHeight="true" outlineLevel="0" collapsed="false">
      <c r="A160" s="450"/>
      <c r="B160" s="474" t="str">
        <f aca="false">MUNDIAL!E99</f>
        <v>3º Clasificado</v>
      </c>
      <c r="C160" s="490" t="str">
        <f aca="false">MUNDIAL!I99</f>
        <v>W34</v>
      </c>
      <c r="D160" s="524"/>
      <c r="E160" s="517"/>
      <c r="F160" s="517"/>
      <c r="G160" s="517"/>
      <c r="H160" s="522"/>
      <c r="I160" s="523"/>
      <c r="J160" s="528"/>
      <c r="K160" s="529"/>
      <c r="L160" s="529"/>
      <c r="M160" s="530"/>
      <c r="N160" s="485"/>
    </row>
    <row r="161" customFormat="false" ht="19.9" hidden="false" customHeight="true" outlineLevel="0" collapsed="false">
      <c r="A161" s="527"/>
      <c r="B161" s="474" t="str">
        <f aca="false">MUNDIAL!E101</f>
        <v>Bota de Oro  (máximo goleador)</v>
      </c>
      <c r="C161" s="490" t="str">
        <f aca="false">MUNDIAL!I101</f>
        <v>Escribe un jugador</v>
      </c>
      <c r="D161" s="527"/>
      <c r="E161" s="531" t="s">
        <v>201</v>
      </c>
      <c r="F161" s="531"/>
      <c r="G161" s="531"/>
      <c r="H161" s="531"/>
      <c r="I161" s="532"/>
      <c r="J161" s="532"/>
      <c r="K161" s="532"/>
      <c r="L161" s="532"/>
      <c r="M161" s="533"/>
      <c r="N161" s="485"/>
    </row>
    <row r="162" customFormat="false" ht="18.75" hidden="false" customHeight="false" outlineLevel="0" collapsed="false">
      <c r="A162" s="450"/>
      <c r="B162" s="474" t="str">
        <f aca="false">MUNDIAL!E102</f>
        <v>Bota de Plata (2º máximo goleador)</v>
      </c>
      <c r="C162" s="490" t="str">
        <f aca="false">MUNDIAL!I102</f>
        <v>Escribe un jugador</v>
      </c>
      <c r="D162" s="527"/>
      <c r="E162" s="531"/>
      <c r="F162" s="531"/>
      <c r="G162" s="531"/>
      <c r="H162" s="531"/>
      <c r="I162" s="532"/>
      <c r="J162" s="532"/>
      <c r="K162" s="532"/>
      <c r="L162" s="532"/>
      <c r="M162" s="533"/>
      <c r="N162" s="485"/>
    </row>
    <row r="163" customFormat="false" ht="18.75" hidden="false" customHeight="false" outlineLevel="0" collapsed="false">
      <c r="A163" s="450"/>
      <c r="B163" s="474" t="str">
        <f aca="false">MUNDIAL!E103</f>
        <v>Bota de Bronce (3º máximo goleador)</v>
      </c>
      <c r="C163" s="490" t="str">
        <f aca="false">MUNDIAL!I103</f>
        <v>Escribe un jugador</v>
      </c>
      <c r="D163" s="527"/>
      <c r="E163" s="531"/>
      <c r="F163" s="531"/>
      <c r="G163" s="531"/>
      <c r="H163" s="531"/>
      <c r="I163" s="532"/>
      <c r="J163" s="532"/>
      <c r="K163" s="532"/>
      <c r="L163" s="532"/>
      <c r="M163" s="533"/>
      <c r="N163" s="485"/>
    </row>
    <row r="164" customFormat="false" ht="18.75" hidden="false" customHeight="false" outlineLevel="0" collapsed="false">
      <c r="A164" s="527"/>
      <c r="B164" s="474" t="str">
        <f aca="false">MUNDIAL!E105</f>
        <v>Balón de Oro  (mejor jugador)</v>
      </c>
      <c r="C164" s="490" t="str">
        <f aca="false">MUNDIAL!I105</f>
        <v>Escribe un jugador</v>
      </c>
      <c r="D164" s="527"/>
      <c r="E164" s="531"/>
      <c r="F164" s="531"/>
      <c r="G164" s="531"/>
      <c r="H164" s="531"/>
      <c r="I164" s="532"/>
      <c r="J164" s="532"/>
      <c r="K164" s="532"/>
      <c r="L164" s="532"/>
      <c r="M164" s="533"/>
      <c r="N164" s="485"/>
    </row>
    <row r="165" customFormat="false" ht="18.75" hidden="false" customHeight="false" outlineLevel="0" collapsed="false">
      <c r="A165" s="450"/>
      <c r="B165" s="474" t="str">
        <f aca="false">MUNDIAL!E106</f>
        <v>Balón de Plata (2º mejor jugador)</v>
      </c>
      <c r="C165" s="490" t="str">
        <f aca="false">MUNDIAL!I106</f>
        <v>Escribe un jugador</v>
      </c>
      <c r="D165" s="527"/>
      <c r="E165" s="532"/>
      <c r="F165" s="532"/>
      <c r="G165" s="532"/>
      <c r="H165" s="532"/>
      <c r="I165" s="532"/>
      <c r="J165" s="532"/>
      <c r="K165" s="532"/>
      <c r="L165" s="532"/>
      <c r="M165" s="533"/>
      <c r="N165" s="485"/>
    </row>
    <row r="166" customFormat="false" ht="18.75" hidden="false" customHeight="false" outlineLevel="0" collapsed="false">
      <c r="A166" s="450"/>
      <c r="B166" s="474" t="str">
        <f aca="false">MUNDIAL!E107</f>
        <v>Balón de Bronce (3º mejor jugador)</v>
      </c>
      <c r="C166" s="490" t="str">
        <f aca="false">MUNDIAL!I107</f>
        <v>Escribe un jugador</v>
      </c>
      <c r="D166" s="527"/>
      <c r="E166" s="532"/>
      <c r="F166" s="532"/>
      <c r="G166" s="532"/>
      <c r="H166" s="532"/>
      <c r="I166" s="532"/>
      <c r="J166" s="532"/>
      <c r="K166" s="532"/>
      <c r="L166" s="532"/>
      <c r="M166" s="533"/>
      <c r="N166" s="485"/>
    </row>
  </sheetData>
  <sheetProtection algorithmName="SHA-512" hashValue="nrGNJR/vqzrSHjyrIGzti/NgfFgO1kZiL1qski4qaGpyRaXcr+lO/qTF8NNgrZzSUBLJu9okc2pUs+F+C6GmTg==" saltValue="yj9Wpvusd2QFxqoOu6i/2w==" spinCount="100000" sheet="true" objects="true" scenarios="true" selectLockedCells="true"/>
  <mergeCells count="37">
    <mergeCell ref="E1:N2"/>
    <mergeCell ref="E3:N3"/>
    <mergeCell ref="E4:M4"/>
    <mergeCell ref="E5:I5"/>
    <mergeCell ref="D6:D21"/>
    <mergeCell ref="E6:H9"/>
    <mergeCell ref="D22:D37"/>
    <mergeCell ref="E22:H25"/>
    <mergeCell ref="D38:D105"/>
    <mergeCell ref="E38:H41"/>
    <mergeCell ref="A56:A59"/>
    <mergeCell ref="A60:A63"/>
    <mergeCell ref="A64:A67"/>
    <mergeCell ref="A68:A71"/>
    <mergeCell ref="A72:A75"/>
    <mergeCell ref="A76:A79"/>
    <mergeCell ref="A80:A83"/>
    <mergeCell ref="A84:A87"/>
    <mergeCell ref="A90:A105"/>
    <mergeCell ref="E106:L106"/>
    <mergeCell ref="E107:L107"/>
    <mergeCell ref="A108:A115"/>
    <mergeCell ref="D108:D125"/>
    <mergeCell ref="E108:H111"/>
    <mergeCell ref="A118:A125"/>
    <mergeCell ref="A128:A131"/>
    <mergeCell ref="D128:D137"/>
    <mergeCell ref="E128:H131"/>
    <mergeCell ref="A134:A137"/>
    <mergeCell ref="A140:A141"/>
    <mergeCell ref="D140:D149"/>
    <mergeCell ref="E140:H143"/>
    <mergeCell ref="A144:A145"/>
    <mergeCell ref="A148:A149"/>
    <mergeCell ref="D151:D160"/>
    <mergeCell ref="E151:H153"/>
    <mergeCell ref="E161:H16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BA60"/>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5" zeroHeight="false" outlineLevelRow="0" outlineLevelCol="0"/>
  <cols>
    <col collapsed="false" customWidth="true" hidden="false" outlineLevel="0" max="1" min="1" style="0" width="2.29"/>
    <col collapsed="false" customWidth="true" hidden="false" outlineLevel="0" max="2" min="2" style="0" width="3.29"/>
    <col collapsed="false" customWidth="true" hidden="false" outlineLevel="0" max="6" min="3" style="0" width="3.71"/>
    <col collapsed="false" customWidth="true" hidden="false" outlineLevel="0" max="7" min="7" style="0" width="3.29"/>
    <col collapsed="false" customWidth="true" hidden="false" outlineLevel="0" max="12" min="8" style="0" width="3.71"/>
    <col collapsed="false" customWidth="true" hidden="false" outlineLevel="0" max="13" min="13" style="0" width="3.29"/>
    <col collapsed="false" customWidth="true" hidden="false" outlineLevel="0" max="14" min="14" style="0" width="4.29"/>
    <col collapsed="false" customWidth="true" hidden="false" outlineLevel="0" max="16" min="15" style="0" width="3.71"/>
    <col collapsed="false" customWidth="true" hidden="false" outlineLevel="0" max="17" min="17" style="0" width="3.29"/>
    <col collapsed="false" customWidth="true" hidden="false" outlineLevel="0" max="18" min="18" style="0" width="4.29"/>
    <col collapsed="false" customWidth="true" hidden="false" outlineLevel="0" max="20" min="19" style="0" width="3.71"/>
    <col collapsed="false" customWidth="true" hidden="false" outlineLevel="0" max="21" min="21" style="0" width="3.29"/>
    <col collapsed="false" customWidth="true" hidden="false" outlineLevel="0" max="22" min="22" style="0" width="4.29"/>
    <col collapsed="false" customWidth="true" hidden="false" outlineLevel="0" max="25" min="23" style="0" width="3.71"/>
    <col collapsed="false" customWidth="true" hidden="false" outlineLevel="0" max="26" min="26" style="0" width="4.29"/>
    <col collapsed="false" customWidth="true" hidden="false" outlineLevel="0" max="28" min="27" style="0" width="3.71"/>
    <col collapsed="false" customWidth="true" hidden="false" outlineLevel="0" max="29" min="29" style="0" width="3.29"/>
    <col collapsed="false" customWidth="true" hidden="false" outlineLevel="0" max="32" min="30" style="0" width="3.71"/>
    <col collapsed="false" customWidth="true" hidden="false" outlineLevel="0" max="33" min="33" style="0" width="3.29"/>
    <col collapsed="false" customWidth="true" hidden="false" outlineLevel="0" max="34" min="34" style="0" width="4.29"/>
    <col collapsed="false" customWidth="true" hidden="false" outlineLevel="0" max="36" min="35" style="0" width="3.71"/>
    <col collapsed="false" customWidth="true" hidden="false" outlineLevel="0" max="37" min="37" style="0" width="3.29"/>
    <col collapsed="false" customWidth="true" hidden="false" outlineLevel="0" max="38" min="38" style="0" width="4.29"/>
    <col collapsed="false" customWidth="true" hidden="false" outlineLevel="0" max="40" min="39" style="0" width="3.71"/>
    <col collapsed="false" customWidth="true" hidden="false" outlineLevel="0" max="42" min="41" style="0" width="3.29"/>
    <col collapsed="false" customWidth="true" hidden="false" outlineLevel="0" max="46" min="43" style="0" width="3.71"/>
    <col collapsed="false" customWidth="true" hidden="false" outlineLevel="0" max="47" min="47" style="0" width="3.29"/>
    <col collapsed="false" customWidth="true" hidden="false" outlineLevel="0" max="67" min="48" style="0" width="3.71"/>
  </cols>
  <sheetData>
    <row r="1" customFormat="false" ht="7.9"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customFormat="false" ht="15.75" hidden="false" customHeight="false" outlineLevel="0" collapsed="false">
      <c r="A2" s="1"/>
      <c r="B2" s="534"/>
      <c r="C2" s="535"/>
      <c r="D2" s="535"/>
      <c r="E2" s="535"/>
      <c r="F2" s="535"/>
      <c r="G2" s="535"/>
      <c r="H2" s="535"/>
      <c r="I2" s="535"/>
      <c r="J2" s="535"/>
      <c r="K2" s="535"/>
      <c r="L2" s="535"/>
      <c r="M2" s="535"/>
      <c r="N2" s="535"/>
      <c r="O2" s="536" t="s">
        <v>89</v>
      </c>
      <c r="P2" s="535"/>
      <c r="Q2" s="1"/>
      <c r="R2" s="1"/>
      <c r="S2" s="535" t="s">
        <v>91</v>
      </c>
      <c r="T2" s="1"/>
      <c r="U2" s="535"/>
      <c r="V2" s="535"/>
      <c r="W2" s="535" t="s">
        <v>202</v>
      </c>
      <c r="X2" s="535"/>
      <c r="Y2" s="535"/>
      <c r="Z2" s="535"/>
      <c r="AA2" s="535" t="s">
        <v>203</v>
      </c>
      <c r="AB2" s="535"/>
      <c r="AC2" s="535"/>
      <c r="AD2" s="535"/>
      <c r="AE2" s="535" t="s">
        <v>202</v>
      </c>
      <c r="AF2" s="535"/>
      <c r="AG2" s="535"/>
      <c r="AH2" s="535"/>
      <c r="AI2" s="535" t="s">
        <v>91</v>
      </c>
      <c r="AJ2" s="535"/>
      <c r="AK2" s="1"/>
      <c r="AL2" s="1"/>
      <c r="AM2" s="536" t="s">
        <v>89</v>
      </c>
      <c r="AN2" s="1"/>
      <c r="AO2" s="535"/>
      <c r="AP2" s="1"/>
      <c r="AQ2" s="1"/>
      <c r="AR2" s="1"/>
      <c r="AS2" s="1"/>
      <c r="AT2" s="1"/>
      <c r="AU2" s="1"/>
      <c r="AV2" s="1"/>
      <c r="AW2" s="1"/>
      <c r="AX2" s="1"/>
      <c r="AY2" s="1"/>
      <c r="AZ2" s="1"/>
      <c r="BA2" s="1"/>
    </row>
    <row r="3" customFormat="false" ht="15" hidden="false" customHeight="false" outlineLevel="0" collapsed="false">
      <c r="A3" s="1"/>
      <c r="B3" s="537" t="s">
        <v>30</v>
      </c>
      <c r="C3" s="538" t="str">
        <f aca="false">MID(MUNDIAL!I4,1,3)</f>
        <v>Sen</v>
      </c>
      <c r="D3" s="539" t="n">
        <f aca="false">MUNDIAL!K4</f>
        <v>0</v>
      </c>
      <c r="E3" s="539" t="n">
        <f aca="false">MUNDIAL!L4</f>
        <v>2</v>
      </c>
      <c r="F3" s="540" t="str">
        <f aca="false">MID(MUNDIAL!N4,1,3)</f>
        <v>Pai</v>
      </c>
      <c r="G3" s="541"/>
      <c r="H3" s="542" t="s">
        <v>204</v>
      </c>
      <c r="I3" s="543" t="s">
        <v>42</v>
      </c>
      <c r="J3" s="543" t="s">
        <v>205</v>
      </c>
      <c r="K3" s="543" t="s">
        <v>49</v>
      </c>
      <c r="L3" s="544" t="s">
        <v>47</v>
      </c>
      <c r="M3" s="1"/>
      <c r="N3" s="545"/>
      <c r="O3" s="545"/>
      <c r="P3" s="545"/>
      <c r="Q3" s="1"/>
      <c r="R3" s="546"/>
      <c r="S3" s="546"/>
      <c r="T3" s="546"/>
      <c r="U3" s="1"/>
      <c r="V3" s="547"/>
      <c r="W3" s="547"/>
      <c r="X3" s="547"/>
      <c r="Y3" s="1"/>
      <c r="Z3" s="548"/>
      <c r="AA3" s="548"/>
      <c r="AB3" s="548"/>
      <c r="AC3" s="1"/>
      <c r="AD3" s="547"/>
      <c r="AE3" s="547"/>
      <c r="AF3" s="547"/>
      <c r="AG3" s="1"/>
      <c r="AH3" s="546"/>
      <c r="AI3" s="546"/>
      <c r="AJ3" s="546"/>
      <c r="AK3" s="1"/>
      <c r="AL3" s="545"/>
      <c r="AM3" s="545"/>
      <c r="AN3" s="545"/>
      <c r="AO3" s="1"/>
      <c r="AP3" s="549" t="s">
        <v>45</v>
      </c>
      <c r="AQ3" s="550" t="str">
        <f aca="false">MID(MUNDIAL!I36,1,3)</f>
        <v>Ale</v>
      </c>
      <c r="AR3" s="551" t="n">
        <f aca="false">MUNDIAL!K36</f>
        <v>1</v>
      </c>
      <c r="AS3" s="551" t="n">
        <f aca="false">MUNDIAL!L36</f>
        <v>2</v>
      </c>
      <c r="AT3" s="552" t="str">
        <f aca="false">MID(MUNDIAL!N36,1,3)</f>
        <v>Jap</v>
      </c>
      <c r="AU3" s="553"/>
      <c r="AV3" s="554" t="s">
        <v>204</v>
      </c>
      <c r="AW3" s="555" t="s">
        <v>42</v>
      </c>
      <c r="AX3" s="555" t="s">
        <v>205</v>
      </c>
      <c r="AY3" s="555" t="s">
        <v>49</v>
      </c>
      <c r="AZ3" s="556" t="s">
        <v>47</v>
      </c>
      <c r="BA3" s="1"/>
    </row>
    <row r="4" customFormat="false" ht="15" hidden="false" customHeight="false" outlineLevel="0" collapsed="false">
      <c r="A4" s="1"/>
      <c r="B4" s="537"/>
      <c r="C4" s="557" t="str">
        <f aca="false">MID(MUNDIAL!I5,1,3)</f>
        <v>Cat</v>
      </c>
      <c r="D4" s="558" t="n">
        <f aca="false">MUNDIAL!K5</f>
        <v>0</v>
      </c>
      <c r="E4" s="558" t="n">
        <f aca="false">MUNDIAL!L5</f>
        <v>2</v>
      </c>
      <c r="F4" s="559" t="str">
        <f aca="false">MID(MUNDIAL!N5,1,3)</f>
        <v>Ecu</v>
      </c>
      <c r="G4" s="1" t="n">
        <v>1</v>
      </c>
      <c r="H4" s="560" t="str">
        <f aca="false">MID(MUNDIAL!R6,1,3)</f>
        <v>Pai</v>
      </c>
      <c r="I4" s="561" t="n">
        <f aca="false">MUNDIAL!S6</f>
        <v>7</v>
      </c>
      <c r="J4" s="562" t="n">
        <f aca="false">MUNDIAL!T6</f>
        <v>3</v>
      </c>
      <c r="K4" s="562" t="n">
        <f aca="false">MUNDIAL!Z6</f>
        <v>4</v>
      </c>
      <c r="L4" s="563" t="n">
        <f aca="false">MUNDIAL!X6</f>
        <v>5</v>
      </c>
      <c r="M4" s="1"/>
      <c r="N4" s="564"/>
      <c r="O4" s="545"/>
      <c r="P4" s="545"/>
      <c r="Q4" s="1"/>
      <c r="R4" s="546"/>
      <c r="S4" s="546"/>
      <c r="T4" s="546"/>
      <c r="U4" s="1"/>
      <c r="V4" s="547"/>
      <c r="W4" s="547"/>
      <c r="X4" s="547"/>
      <c r="Y4" s="1"/>
      <c r="Z4" s="548"/>
      <c r="AA4" s="548"/>
      <c r="AB4" s="548"/>
      <c r="AC4" s="1"/>
      <c r="AD4" s="547"/>
      <c r="AE4" s="547"/>
      <c r="AF4" s="547"/>
      <c r="AG4" s="1"/>
      <c r="AH4" s="546"/>
      <c r="AI4" s="546"/>
      <c r="AJ4" s="546"/>
      <c r="AK4" s="1"/>
      <c r="AL4" s="545"/>
      <c r="AM4" s="545"/>
      <c r="AN4" s="545"/>
      <c r="AO4" s="1"/>
      <c r="AP4" s="565"/>
      <c r="AQ4" s="566" t="str">
        <f aca="false">MID(MUNDIAL!I37,1,3)</f>
        <v>Esp</v>
      </c>
      <c r="AR4" s="567" t="n">
        <f aca="false">MUNDIAL!K37</f>
        <v>7</v>
      </c>
      <c r="AS4" s="567" t="n">
        <f aca="false">MUNDIAL!L37</f>
        <v>0</v>
      </c>
      <c r="AT4" s="568" t="str">
        <f aca="false">MID(MUNDIAL!N37,1,3)</f>
        <v>Cos</v>
      </c>
      <c r="AU4" s="569" t="n">
        <v>1</v>
      </c>
      <c r="AV4" s="570" t="str">
        <f aca="false">MID(MUNDIAL!R38,1,3)</f>
        <v>Jap</v>
      </c>
      <c r="AW4" s="571" t="n">
        <f aca="false">MUNDIAL!S38</f>
        <v>6</v>
      </c>
      <c r="AX4" s="572" t="n">
        <f aca="false">MUNDIAL!T38</f>
        <v>3</v>
      </c>
      <c r="AY4" s="572" t="n">
        <f aca="false">MUNDIAL!Z38</f>
        <v>1</v>
      </c>
      <c r="AZ4" s="573" t="n">
        <f aca="false">MUNDIAL!X38</f>
        <v>4</v>
      </c>
      <c r="BA4" s="1"/>
    </row>
    <row r="5" customFormat="false" ht="15" hidden="false" customHeight="false" outlineLevel="0" collapsed="false">
      <c r="A5" s="1"/>
      <c r="B5" s="537"/>
      <c r="C5" s="557" t="str">
        <f aca="false">MID(MUNDIAL!I6,1,3)</f>
        <v>Cat</v>
      </c>
      <c r="D5" s="558" t="n">
        <f aca="false">MUNDIAL!K6</f>
        <v>1</v>
      </c>
      <c r="E5" s="558" t="n">
        <f aca="false">MUNDIAL!L6</f>
        <v>3</v>
      </c>
      <c r="F5" s="559" t="str">
        <f aca="false">MID(MUNDIAL!N6,1,3)</f>
        <v>Sen</v>
      </c>
      <c r="G5" s="1" t="n">
        <v>2</v>
      </c>
      <c r="H5" s="560" t="str">
        <f aca="false">MID(MUNDIAL!R7,1,3)</f>
        <v>Sen</v>
      </c>
      <c r="I5" s="561" t="n">
        <f aca="false">MUNDIAL!S7</f>
        <v>6</v>
      </c>
      <c r="J5" s="562" t="n">
        <f aca="false">MUNDIAL!T7</f>
        <v>3</v>
      </c>
      <c r="K5" s="562" t="n">
        <f aca="false">MUNDIAL!Z7</f>
        <v>1</v>
      </c>
      <c r="L5" s="563" t="n">
        <f aca="false">MUNDIAL!X7</f>
        <v>5</v>
      </c>
      <c r="M5" s="1"/>
      <c r="N5" s="574" t="str">
        <f aca="false">MID(MUNDIAL!I69,1,3)</f>
        <v>Pai</v>
      </c>
      <c r="O5" s="575" t="n">
        <f aca="false">IF(ISBLANK(MUNDIAL!K69),"",(MUNDIAL!K69))</f>
        <v>2</v>
      </c>
      <c r="P5" s="576" t="str">
        <f aca="false">IF(ISBLANK(MUNDIAL!J69),"","("&amp;(MUNDIAL!J69)&amp;")")</f>
        <v/>
      </c>
      <c r="Q5" s="577"/>
      <c r="R5" s="578"/>
      <c r="S5" s="578"/>
      <c r="T5" s="578"/>
      <c r="U5" s="577"/>
      <c r="V5" s="579"/>
      <c r="W5" s="579"/>
      <c r="X5" s="579"/>
      <c r="Y5" s="577"/>
      <c r="Z5" s="580"/>
      <c r="AA5" s="580"/>
      <c r="AB5" s="580"/>
      <c r="AC5" s="577"/>
      <c r="AD5" s="579"/>
      <c r="AE5" s="579"/>
      <c r="AF5" s="579"/>
      <c r="AG5" s="577"/>
      <c r="AH5" s="578"/>
      <c r="AI5" s="578"/>
      <c r="AJ5" s="578"/>
      <c r="AK5" s="577"/>
      <c r="AL5" s="581" t="str">
        <f aca="false">IF(ISBLANK(MUNDIAL!J72),"","("&amp;(MUNDIAL!J72)&amp;")")</f>
        <v/>
      </c>
      <c r="AM5" s="575" t="n">
        <f aca="false">IF(ISBLANK(MUNDIAL!K72),"",(MUNDIAL!K72))</f>
        <v>3</v>
      </c>
      <c r="AN5" s="574" t="str">
        <f aca="false">MID(MUNDIAL!I72,1,3)</f>
        <v>Ing</v>
      </c>
      <c r="AO5" s="1"/>
      <c r="AP5" s="565"/>
      <c r="AQ5" s="582" t="str">
        <f aca="false">MID(MUNDIAL!I38,1,3)</f>
        <v>Jap</v>
      </c>
      <c r="AR5" s="583" t="n">
        <f aca="false">MUNDIAL!K38</f>
        <v>0</v>
      </c>
      <c r="AS5" s="583" t="n">
        <f aca="false">MUNDIAL!L38</f>
        <v>1</v>
      </c>
      <c r="AT5" s="584" t="str">
        <f aca="false">MID(MUNDIAL!N38,1,3)</f>
        <v>Cos</v>
      </c>
      <c r="AU5" s="569" t="n">
        <v>2</v>
      </c>
      <c r="AV5" s="585" t="str">
        <f aca="false">MID(MUNDIAL!R39,1,3)</f>
        <v>Esp</v>
      </c>
      <c r="AW5" s="586" t="n">
        <f aca="false">MUNDIAL!S39</f>
        <v>4</v>
      </c>
      <c r="AX5" s="572" t="n">
        <f aca="false">MUNDIAL!T39</f>
        <v>3</v>
      </c>
      <c r="AY5" s="587" t="n">
        <f aca="false">MUNDIAL!Z39</f>
        <v>6</v>
      </c>
      <c r="AZ5" s="588" t="n">
        <f aca="false">MUNDIAL!X39</f>
        <v>9</v>
      </c>
      <c r="BA5" s="1"/>
    </row>
    <row r="6" customFormat="false" ht="15" hidden="false" customHeight="false" outlineLevel="0" collapsed="false">
      <c r="A6" s="1"/>
      <c r="B6" s="537"/>
      <c r="C6" s="557" t="str">
        <f aca="false">MID(MUNDIAL!I7,1,3)</f>
        <v>Pai</v>
      </c>
      <c r="D6" s="558" t="n">
        <f aca="false">MUNDIAL!K7</f>
        <v>1</v>
      </c>
      <c r="E6" s="558" t="n">
        <f aca="false">MUNDIAL!L7</f>
        <v>1</v>
      </c>
      <c r="F6" s="559" t="str">
        <f aca="false">MID(MUNDIAL!N7,1,3)</f>
        <v>Ecu</v>
      </c>
      <c r="G6" s="1" t="n">
        <v>3</v>
      </c>
      <c r="H6" s="560" t="str">
        <f aca="false">MID(MUNDIAL!R8,1,3)</f>
        <v>Ecu</v>
      </c>
      <c r="I6" s="561" t="n">
        <f aca="false">MUNDIAL!S8</f>
        <v>4</v>
      </c>
      <c r="J6" s="562" t="n">
        <f aca="false">MUNDIAL!T8</f>
        <v>3</v>
      </c>
      <c r="K6" s="562" t="n">
        <f aca="false">MUNDIAL!Z8</f>
        <v>1</v>
      </c>
      <c r="L6" s="563" t="n">
        <f aca="false">MUNDIAL!X8</f>
        <v>4</v>
      </c>
      <c r="M6" s="1"/>
      <c r="N6" s="574" t="str">
        <f aca="false">MID(MUNDIAL!N69,1,3)</f>
        <v>Est</v>
      </c>
      <c r="O6" s="575" t="n">
        <f aca="false">IF(ISBLANK(MUNDIAL!L69),"",(MUNDIAL!L69))</f>
        <v>1</v>
      </c>
      <c r="P6" s="589" t="str">
        <f aca="false">IF(ISBLANK(MUNDIAL!M69),"","("&amp;(MUNDIAL!M69)&amp;")")</f>
        <v/>
      </c>
      <c r="Q6" s="577"/>
      <c r="R6" s="578"/>
      <c r="S6" s="578"/>
      <c r="T6" s="578"/>
      <c r="U6" s="577"/>
      <c r="V6" s="579"/>
      <c r="W6" s="579"/>
      <c r="X6" s="579"/>
      <c r="Y6" s="577"/>
      <c r="Z6" s="580"/>
      <c r="AA6" s="580"/>
      <c r="AB6" s="580"/>
      <c r="AC6" s="577"/>
      <c r="AD6" s="579"/>
      <c r="AE6" s="579"/>
      <c r="AF6" s="579"/>
      <c r="AG6" s="577"/>
      <c r="AH6" s="578"/>
      <c r="AI6" s="578"/>
      <c r="AJ6" s="578"/>
      <c r="AK6" s="590"/>
      <c r="AL6" s="591" t="str">
        <f aca="false">IF(ISBLANK(MUNDIAL!M72),"","("&amp;(MUNDIAL!M72)&amp;")")</f>
        <v/>
      </c>
      <c r="AM6" s="575" t="n">
        <f aca="false">IF(ISBLANK(MUNDIAL!L72),"",(MUNDIAL!L72))</f>
        <v>1</v>
      </c>
      <c r="AN6" s="574" t="str">
        <f aca="false">MID(MUNDIAL!N72,1,3)</f>
        <v>Sen</v>
      </c>
      <c r="AO6" s="1"/>
      <c r="AP6" s="565"/>
      <c r="AQ6" s="592" t="str">
        <f aca="false">MID(MUNDIAL!I39,1,3)</f>
        <v>Esp</v>
      </c>
      <c r="AR6" s="567" t="n">
        <f aca="false">MUNDIAL!K39</f>
        <v>1</v>
      </c>
      <c r="AS6" s="567" t="n">
        <f aca="false">MUNDIAL!L39</f>
        <v>1</v>
      </c>
      <c r="AT6" s="568" t="str">
        <f aca="false">MID(MUNDIAL!N39,1,3)</f>
        <v>Ale</v>
      </c>
      <c r="AU6" s="569" t="n">
        <v>3</v>
      </c>
      <c r="AV6" s="570" t="str">
        <f aca="false">MID(MUNDIAL!R40,1,3)</f>
        <v>Ale</v>
      </c>
      <c r="AW6" s="571" t="n">
        <f aca="false">MUNDIAL!S40</f>
        <v>4</v>
      </c>
      <c r="AX6" s="572" t="n">
        <f aca="false">MUNDIAL!T40</f>
        <v>3</v>
      </c>
      <c r="AY6" s="572" t="n">
        <f aca="false">MUNDIAL!Z40</f>
        <v>1</v>
      </c>
      <c r="AZ6" s="573" t="n">
        <f aca="false">MUNDIAL!X40</f>
        <v>6</v>
      </c>
      <c r="BA6" s="1"/>
    </row>
    <row r="7" customFormat="false" ht="15" hidden="false" customHeight="false" outlineLevel="0" collapsed="false">
      <c r="A7" s="1"/>
      <c r="B7" s="537"/>
      <c r="C7" s="557" t="str">
        <f aca="false">MID(MUNDIAL!I8,1,3)</f>
        <v>Ecu</v>
      </c>
      <c r="D7" s="558" t="n">
        <f aca="false">MUNDIAL!K8</f>
        <v>1</v>
      </c>
      <c r="E7" s="558" t="n">
        <f aca="false">MUNDIAL!L8</f>
        <v>2</v>
      </c>
      <c r="F7" s="559" t="str">
        <f aca="false">MID(MUNDIAL!N8,1,3)</f>
        <v>Sen</v>
      </c>
      <c r="G7" s="1" t="n">
        <v>4</v>
      </c>
      <c r="H7" s="560" t="str">
        <f aca="false">MID(MUNDIAL!R9,1,3)</f>
        <v>Cat</v>
      </c>
      <c r="I7" s="561" t="n">
        <f aca="false">MUNDIAL!S9</f>
        <v>0</v>
      </c>
      <c r="J7" s="562" t="n">
        <f aca="false">MUNDIAL!T9</f>
        <v>3</v>
      </c>
      <c r="K7" s="562" t="n">
        <f aca="false">MUNDIAL!Z9</f>
        <v>-6</v>
      </c>
      <c r="L7" s="563" t="n">
        <f aca="false">MUNDIAL!X9</f>
        <v>1</v>
      </c>
      <c r="N7" s="593"/>
      <c r="O7" s="593"/>
      <c r="P7" s="594"/>
      <c r="Q7" s="577"/>
      <c r="R7" s="578"/>
      <c r="S7" s="578"/>
      <c r="T7" s="578"/>
      <c r="U7" s="577"/>
      <c r="V7" s="579"/>
      <c r="W7" s="579"/>
      <c r="X7" s="579"/>
      <c r="Y7" s="577"/>
      <c r="Z7" s="580"/>
      <c r="AA7" s="580"/>
      <c r="AB7" s="580"/>
      <c r="AC7" s="577"/>
      <c r="AD7" s="579"/>
      <c r="AE7" s="579"/>
      <c r="AF7" s="579"/>
      <c r="AG7" s="577"/>
      <c r="AH7" s="578"/>
      <c r="AI7" s="578"/>
      <c r="AJ7" s="595"/>
      <c r="AK7" s="590"/>
      <c r="AL7" s="593"/>
      <c r="AM7" s="593"/>
      <c r="AN7" s="593"/>
      <c r="AO7" s="1"/>
      <c r="AP7" s="565"/>
      <c r="AQ7" s="592" t="str">
        <f aca="false">MID(MUNDIAL!I40,1,3)</f>
        <v>Jap</v>
      </c>
      <c r="AR7" s="567" t="n">
        <f aca="false">MUNDIAL!K40</f>
        <v>2</v>
      </c>
      <c r="AS7" s="567" t="n">
        <f aca="false">MUNDIAL!L40</f>
        <v>1</v>
      </c>
      <c r="AT7" s="568" t="str">
        <f aca="false">MID(MUNDIAL!N40,1,3)</f>
        <v>Esp</v>
      </c>
      <c r="AU7" s="569" t="n">
        <v>4</v>
      </c>
      <c r="AV7" s="570" t="str">
        <f aca="false">MID(MUNDIAL!R41,1,3)</f>
        <v>Cos</v>
      </c>
      <c r="AW7" s="596" t="n">
        <f aca="false">MUNDIAL!S41</f>
        <v>3</v>
      </c>
      <c r="AX7" s="572" t="n">
        <f aca="false">MUNDIAL!T41</f>
        <v>3</v>
      </c>
      <c r="AY7" s="597" t="n">
        <f aca="false">MUNDIAL!Z41</f>
        <v>-8</v>
      </c>
      <c r="AZ7" s="598" t="n">
        <f aca="false">MUNDIAL!X41</f>
        <v>3</v>
      </c>
      <c r="BA7" s="1"/>
    </row>
    <row r="8" customFormat="false" ht="15.75" hidden="false" customHeight="false" outlineLevel="0" collapsed="false">
      <c r="A8" s="1"/>
      <c r="B8" s="599"/>
      <c r="C8" s="600" t="str">
        <f aca="false">MID(MUNDIAL!I9,1,3)</f>
        <v>Pai</v>
      </c>
      <c r="D8" s="601" t="n">
        <f aca="false">MUNDIAL!K9</f>
        <v>2</v>
      </c>
      <c r="E8" s="601" t="n">
        <f aca="false">MUNDIAL!L9</f>
        <v>0</v>
      </c>
      <c r="F8" s="602" t="str">
        <f aca="false">MID(MUNDIAL!N9,1,3)</f>
        <v>Cat</v>
      </c>
      <c r="G8" s="534"/>
      <c r="H8" s="603"/>
      <c r="I8" s="604"/>
      <c r="J8" s="604"/>
      <c r="K8" s="604"/>
      <c r="L8" s="605"/>
      <c r="M8" s="1"/>
      <c r="N8" s="593"/>
      <c r="O8" s="593"/>
      <c r="P8" s="594"/>
      <c r="Q8" s="606"/>
      <c r="R8" s="607" t="str">
        <f aca="false">MID(MUNDIAL!I81,1,3)</f>
        <v>Pai</v>
      </c>
      <c r="S8" s="608" t="str">
        <f aca="false">IF(ISBLANK(MUNDIAL!K81),"",(MUNDIAL!K81))</f>
        <v/>
      </c>
      <c r="T8" s="609" t="str">
        <f aca="false">IF(ISBLANK(MUNDIAL!J81),"","("&amp;(MUNDIAL!J81)&amp;")")</f>
        <v/>
      </c>
      <c r="U8" s="577"/>
      <c r="V8" s="579"/>
      <c r="W8" s="579"/>
      <c r="X8" s="579"/>
      <c r="Y8" s="577"/>
      <c r="Z8" s="580"/>
      <c r="AA8" s="580"/>
      <c r="AB8" s="580"/>
      <c r="AC8" s="577"/>
      <c r="AD8" s="579"/>
      <c r="AE8" s="579"/>
      <c r="AF8" s="579"/>
      <c r="AG8" s="577"/>
      <c r="AH8" s="610" t="str">
        <f aca="false">IF(ISBLANK(MUNDIAL!J83),"","("&amp;(MUNDIAL!J83)&amp;")")</f>
        <v/>
      </c>
      <c r="AI8" s="608" t="str">
        <f aca="false">IF(ISBLANK(MUNDIAL!K83),"",(MUNDIAL!K83))</f>
        <v/>
      </c>
      <c r="AJ8" s="607" t="str">
        <f aca="false">MID(MUNDIAL!I83,1,3)</f>
        <v>Ing</v>
      </c>
      <c r="AK8" s="611"/>
      <c r="AL8" s="593"/>
      <c r="AM8" s="593"/>
      <c r="AN8" s="593"/>
      <c r="AO8" s="1"/>
      <c r="AP8" s="612"/>
      <c r="AQ8" s="613" t="str">
        <f aca="false">MID(MUNDIAL!I41,1,3)</f>
        <v>Cos</v>
      </c>
      <c r="AR8" s="614" t="n">
        <f aca="false">MUNDIAL!K41</f>
        <v>2</v>
      </c>
      <c r="AS8" s="614" t="n">
        <f aca="false">MUNDIAL!L41</f>
        <v>4</v>
      </c>
      <c r="AT8" s="615" t="str">
        <f aca="false">MID(MUNDIAL!N41,1,3)</f>
        <v>Ale</v>
      </c>
      <c r="AU8" s="616"/>
      <c r="AV8" s="617"/>
      <c r="AW8" s="618"/>
      <c r="AX8" s="618"/>
      <c r="AY8" s="618"/>
      <c r="AZ8" s="619"/>
      <c r="BA8" s="1"/>
    </row>
    <row r="9" customFormat="false" ht="15.75" hidden="false" customHeight="false" outlineLevel="0" collapsed="false">
      <c r="A9" s="1"/>
      <c r="B9" s="620"/>
      <c r="C9" s="621"/>
      <c r="D9" s="5"/>
      <c r="E9" s="5"/>
      <c r="F9" s="1"/>
      <c r="G9" s="1"/>
      <c r="H9" s="621"/>
      <c r="I9" s="1"/>
      <c r="J9" s="1"/>
      <c r="K9" s="1"/>
      <c r="L9" s="1"/>
      <c r="M9" s="1"/>
      <c r="N9" s="593"/>
      <c r="O9" s="593"/>
      <c r="P9" s="594"/>
      <c r="Q9" s="577"/>
      <c r="R9" s="607" t="str">
        <f aca="false">MID(MUNDIAL!N81,1,3)</f>
        <v>Arg</v>
      </c>
      <c r="S9" s="608" t="str">
        <f aca="false">IF(ISBLANK(MUNDIAL!L81),"",(MUNDIAL!L81))</f>
        <v/>
      </c>
      <c r="T9" s="622" t="str">
        <f aca="false">IF(ISBLANK(MUNDIAL!M81),"","("&amp;(MUNDIAL!M81)&amp;")")</f>
        <v/>
      </c>
      <c r="U9" s="577"/>
      <c r="V9" s="579"/>
      <c r="W9" s="579"/>
      <c r="X9" s="579"/>
      <c r="Y9" s="577"/>
      <c r="Z9" s="580" t="s">
        <v>206</v>
      </c>
      <c r="AA9" s="548"/>
      <c r="AB9" s="580"/>
      <c r="AC9" s="577"/>
      <c r="AD9" s="579"/>
      <c r="AE9" s="579"/>
      <c r="AF9" s="579"/>
      <c r="AG9" s="590"/>
      <c r="AH9" s="623" t="str">
        <f aca="false">IF(ISBLANK(MUNDIAL!M83),"","("&amp;(MUNDIAL!M83)&amp;")")</f>
        <v/>
      </c>
      <c r="AI9" s="608" t="str">
        <f aca="false">IF(ISBLANK(MUNDIAL!L83),"",(MUNDIAL!L83))</f>
        <v/>
      </c>
      <c r="AJ9" s="607" t="str">
        <f aca="false">MID(MUNDIAL!N83,1,3)</f>
        <v>Fra</v>
      </c>
      <c r="AK9" s="590"/>
      <c r="AL9" s="593"/>
      <c r="AM9" s="593"/>
      <c r="AN9" s="593"/>
      <c r="AO9" s="535"/>
      <c r="AP9" s="1"/>
      <c r="AQ9" s="577"/>
      <c r="AR9" s="577"/>
      <c r="AS9" s="1"/>
      <c r="AT9" s="624"/>
      <c r="AU9" s="625"/>
      <c r="AV9" s="624"/>
      <c r="AW9" s="624"/>
      <c r="AX9" s="624"/>
      <c r="AY9" s="624"/>
      <c r="AZ9" s="626"/>
      <c r="BA9" s="1"/>
    </row>
    <row r="10" customFormat="false" ht="15" hidden="false" customHeight="false" outlineLevel="0" collapsed="false">
      <c r="A10" s="1"/>
      <c r="B10" s="627" t="s">
        <v>82</v>
      </c>
      <c r="C10" s="628" t="str">
        <f aca="false">MID(MUNDIAL!I12,1,3)</f>
        <v>Ing</v>
      </c>
      <c r="D10" s="629" t="n">
        <f aca="false">MUNDIAL!K12</f>
        <v>6</v>
      </c>
      <c r="E10" s="630" t="n">
        <f aca="false">MUNDIAL!L12</f>
        <v>2</v>
      </c>
      <c r="F10" s="631" t="str">
        <f aca="false">MID(MUNDIAL!N12,1,3)</f>
        <v>Irá</v>
      </c>
      <c r="G10" s="632"/>
      <c r="H10" s="633" t="s">
        <v>204</v>
      </c>
      <c r="I10" s="634" t="s">
        <v>42</v>
      </c>
      <c r="J10" s="634" t="s">
        <v>205</v>
      </c>
      <c r="K10" s="635" t="s">
        <v>49</v>
      </c>
      <c r="L10" s="636" t="s">
        <v>47</v>
      </c>
      <c r="M10" s="1"/>
      <c r="N10" s="593"/>
      <c r="O10" s="593"/>
      <c r="P10" s="594"/>
      <c r="Q10" s="577"/>
      <c r="R10" s="578"/>
      <c r="S10" s="578"/>
      <c r="T10" s="637"/>
      <c r="U10" s="577"/>
      <c r="V10" s="579"/>
      <c r="W10" s="579"/>
      <c r="X10" s="579"/>
      <c r="Y10" s="638"/>
      <c r="Z10" s="639" t="str">
        <f aca="false">MID(MUNDIAL!I90,1,3)</f>
        <v>L61</v>
      </c>
      <c r="AA10" s="640" t="str">
        <f aca="false">IF(ISBLANK(MUNDIAL!K90),"",(MUNDIAL!K90))</f>
        <v/>
      </c>
      <c r="AB10" s="641" t="str">
        <f aca="false">IF(ISBLANK(MUNDIAL!J90),"","("&amp;(MUNDIAL!J90)&amp;")")</f>
        <v>(0)</v>
      </c>
      <c r="AC10" s="638"/>
      <c r="AD10" s="579"/>
      <c r="AE10" s="579"/>
      <c r="AF10" s="579"/>
      <c r="AG10" s="590"/>
      <c r="AH10" s="578"/>
      <c r="AI10" s="578"/>
      <c r="AJ10" s="642"/>
      <c r="AK10" s="590"/>
      <c r="AL10" s="593"/>
      <c r="AM10" s="593"/>
      <c r="AN10" s="593"/>
      <c r="AO10" s="1"/>
      <c r="AP10" s="643" t="s">
        <v>85</v>
      </c>
      <c r="AQ10" s="644" t="str">
        <f aca="false">MID(MUNDIAL!I44,1,3)</f>
        <v>Mar</v>
      </c>
      <c r="AR10" s="645" t="n">
        <f aca="false">MUNDIAL!K44</f>
        <v>0</v>
      </c>
      <c r="AS10" s="646" t="n">
        <f aca="false">MUNDIAL!L44</f>
        <v>0</v>
      </c>
      <c r="AT10" s="647" t="str">
        <f aca="false">MID(MUNDIAL!N44,1,3)</f>
        <v>Cro</v>
      </c>
      <c r="AU10" s="648"/>
      <c r="AV10" s="649" t="s">
        <v>204</v>
      </c>
      <c r="AW10" s="650" t="s">
        <v>42</v>
      </c>
      <c r="AX10" s="650" t="s">
        <v>205</v>
      </c>
      <c r="AY10" s="651" t="s">
        <v>49</v>
      </c>
      <c r="AZ10" s="652" t="s">
        <v>47</v>
      </c>
      <c r="BA10" s="1"/>
    </row>
    <row r="11" customFormat="false" ht="15" hidden="false" customHeight="false" outlineLevel="0" collapsed="false">
      <c r="A11" s="1"/>
      <c r="B11" s="627"/>
      <c r="C11" s="653" t="str">
        <f aca="false">MID(MUNDIAL!I13,1,3)</f>
        <v>Est</v>
      </c>
      <c r="D11" s="654" t="n">
        <f aca="false">MUNDIAL!K13</f>
        <v>1</v>
      </c>
      <c r="E11" s="655" t="n">
        <f aca="false">MUNDIAL!L13</f>
        <v>1</v>
      </c>
      <c r="F11" s="656" t="str">
        <f aca="false">MID(MUNDIAL!N13,1,3)</f>
        <v>Gal</v>
      </c>
      <c r="G11" s="1" t="n">
        <v>1</v>
      </c>
      <c r="H11" s="657" t="str">
        <f aca="false">MID(MUNDIAL!R14,1,3)</f>
        <v>Ing</v>
      </c>
      <c r="I11" s="658" t="n">
        <f aca="false">MUNDIAL!S14</f>
        <v>7</v>
      </c>
      <c r="J11" s="659" t="n">
        <f aca="false">MUNDIAL!T14</f>
        <v>3</v>
      </c>
      <c r="K11" s="659" t="n">
        <f aca="false">MUNDIAL!Z14</f>
        <v>7</v>
      </c>
      <c r="L11" s="660" t="n">
        <f aca="false">MUNDIAL!X14</f>
        <v>9</v>
      </c>
      <c r="M11" s="1"/>
      <c r="N11" s="574" t="str">
        <f aca="false">MID(MUNDIAL!I70,1,3)</f>
        <v>Arg</v>
      </c>
      <c r="O11" s="575" t="n">
        <f aca="false">IF(ISBLANK(MUNDIAL!K70),"",(MUNDIAL!K70))</f>
        <v>3</v>
      </c>
      <c r="P11" s="661" t="str">
        <f aca="false">IF(ISBLANK(MUNDIAL!J70),"","("&amp;(MUNDIAL!J70)&amp;")")</f>
        <v/>
      </c>
      <c r="Q11" s="577"/>
      <c r="R11" s="578"/>
      <c r="S11" s="578"/>
      <c r="T11" s="637"/>
      <c r="U11" s="577"/>
      <c r="V11" s="579"/>
      <c r="W11" s="579"/>
      <c r="X11" s="662"/>
      <c r="Y11" s="663"/>
      <c r="Z11" s="664" t="str">
        <f aca="false">MID(MUNDIAL!N90,1,3)</f>
        <v>L62</v>
      </c>
      <c r="AA11" s="640" t="str">
        <f aca="false">IF(ISBLANK(MUNDIAL!L90),"",(MUNDIAL!L90))</f>
        <v/>
      </c>
      <c r="AB11" s="665" t="str">
        <f aca="false">IF(ISBLANK(MUNDIAL!M90),"","("&amp;(MUNDIAL!M90)&amp;")")</f>
        <v>(2)</v>
      </c>
      <c r="AC11" s="666"/>
      <c r="AD11" s="579"/>
      <c r="AE11" s="579"/>
      <c r="AF11" s="579"/>
      <c r="AG11" s="590"/>
      <c r="AH11" s="578"/>
      <c r="AI11" s="578"/>
      <c r="AJ11" s="578"/>
      <c r="AK11" s="590"/>
      <c r="AL11" s="581" t="str">
        <f aca="false">IF(ISBLANK(MUNDIAL!J71),"","("&amp;(MUNDIAL!J71)&amp;")")</f>
        <v/>
      </c>
      <c r="AM11" s="575" t="n">
        <f aca="false">IF(ISBLANK(MUNDIAL!K71),"",(MUNDIAL!K71))</f>
        <v>3</v>
      </c>
      <c r="AN11" s="574" t="str">
        <f aca="false">MID(MUNDIAL!I71,1,3)</f>
        <v>Fra</v>
      </c>
      <c r="AO11" s="1"/>
      <c r="AP11" s="667"/>
      <c r="AQ11" s="668" t="str">
        <f aca="false">MID(MUNDIAL!I45,1,3)</f>
        <v>Bél</v>
      </c>
      <c r="AR11" s="669" t="n">
        <f aca="false">MUNDIAL!K45</f>
        <v>1</v>
      </c>
      <c r="AS11" s="669" t="n">
        <f aca="false">MUNDIAL!L45</f>
        <v>0</v>
      </c>
      <c r="AT11" s="670" t="str">
        <f aca="false">MID(MUNDIAL!N45,1,3)</f>
        <v>Can</v>
      </c>
      <c r="AU11" s="671" t="n">
        <v>1</v>
      </c>
      <c r="AV11" s="672" t="str">
        <f aca="false">MID(MUNDIAL!R46,1,3)</f>
        <v>Mar</v>
      </c>
      <c r="AW11" s="673" t="n">
        <f aca="false">MUNDIAL!S46</f>
        <v>7</v>
      </c>
      <c r="AX11" s="674" t="n">
        <f aca="false">MUNDIAL!T46</f>
        <v>3</v>
      </c>
      <c r="AY11" s="675" t="n">
        <f aca="false">MUNDIAL!Z46</f>
        <v>3</v>
      </c>
      <c r="AZ11" s="676" t="n">
        <f aca="false">MUNDIAL!X46</f>
        <v>4</v>
      </c>
      <c r="BA11" s="1"/>
    </row>
    <row r="12" customFormat="false" ht="15" hidden="false" customHeight="false" outlineLevel="0" collapsed="false">
      <c r="A12" s="1"/>
      <c r="B12" s="627"/>
      <c r="C12" s="653" t="str">
        <f aca="false">MID(MUNDIAL!I14,1,3)</f>
        <v>Gal</v>
      </c>
      <c r="D12" s="654" t="n">
        <f aca="false">MUNDIAL!K14</f>
        <v>0</v>
      </c>
      <c r="E12" s="655" t="n">
        <f aca="false">MUNDIAL!L14</f>
        <v>2</v>
      </c>
      <c r="F12" s="656" t="str">
        <f aca="false">MID(MUNDIAL!N14,1,3)</f>
        <v>Irá</v>
      </c>
      <c r="G12" s="1" t="n">
        <v>2</v>
      </c>
      <c r="H12" s="657" t="str">
        <f aca="false">MID(MUNDIAL!R15,1,3)</f>
        <v>Est</v>
      </c>
      <c r="I12" s="658" t="n">
        <f aca="false">MUNDIAL!S15</f>
        <v>5</v>
      </c>
      <c r="J12" s="659" t="n">
        <f aca="false">MUNDIAL!T15</f>
        <v>3</v>
      </c>
      <c r="K12" s="659" t="n">
        <f aca="false">MUNDIAL!Z15</f>
        <v>1</v>
      </c>
      <c r="L12" s="660" t="n">
        <f aca="false">MUNDIAL!X15</f>
        <v>2</v>
      </c>
      <c r="M12" s="1"/>
      <c r="N12" s="574" t="str">
        <f aca="false">MID(MUNDIAL!N70,1,3)</f>
        <v>Aus</v>
      </c>
      <c r="O12" s="575" t="n">
        <f aca="false">IF(ISBLANK(MUNDIAL!L70),"",(MUNDIAL!L70))</f>
        <v>0</v>
      </c>
      <c r="P12" s="677" t="str">
        <f aca="false">IF(ISBLANK(MUNDIAL!M70),"","("&amp;(MUNDIAL!M70)&amp;")")</f>
        <v/>
      </c>
      <c r="Q12" s="577"/>
      <c r="R12" s="578"/>
      <c r="S12" s="578"/>
      <c r="T12" s="637"/>
      <c r="U12" s="577"/>
      <c r="V12" s="579"/>
      <c r="W12" s="579"/>
      <c r="X12" s="662"/>
      <c r="Y12" s="577"/>
      <c r="Z12" s="580"/>
      <c r="AA12" s="580"/>
      <c r="AB12" s="580"/>
      <c r="AC12" s="590"/>
      <c r="AD12" s="579"/>
      <c r="AE12" s="579"/>
      <c r="AF12" s="579"/>
      <c r="AG12" s="590"/>
      <c r="AH12" s="578"/>
      <c r="AI12" s="578"/>
      <c r="AJ12" s="578"/>
      <c r="AK12" s="577"/>
      <c r="AL12" s="591" t="str">
        <f aca="false">IF(ISBLANK(MUNDIAL!M71),"","("&amp;(MUNDIAL!M71)&amp;")")</f>
        <v/>
      </c>
      <c r="AM12" s="575" t="n">
        <f aca="false">IF(ISBLANK(MUNDIAL!L71),"",(MUNDIAL!L71))</f>
        <v>0</v>
      </c>
      <c r="AN12" s="574" t="str">
        <f aca="false">MID(MUNDIAL!N71,1,3)</f>
        <v>Pol</v>
      </c>
      <c r="AO12" s="1"/>
      <c r="AP12" s="667"/>
      <c r="AQ12" s="678" t="str">
        <f aca="false">MID(MUNDIAL!I46,1,3)</f>
        <v>Bél</v>
      </c>
      <c r="AR12" s="679" t="n">
        <f aca="false">MUNDIAL!K46</f>
        <v>0</v>
      </c>
      <c r="AS12" s="669" t="n">
        <f aca="false">MUNDIAL!L46</f>
        <v>2</v>
      </c>
      <c r="AT12" s="670" t="str">
        <f aca="false">MID(MUNDIAL!N46,1,3)</f>
        <v>Mar</v>
      </c>
      <c r="AU12" s="671" t="n">
        <v>2</v>
      </c>
      <c r="AV12" s="680" t="str">
        <f aca="false">MID(MUNDIAL!R47,1,3)</f>
        <v>Cro</v>
      </c>
      <c r="AW12" s="681" t="n">
        <f aca="false">MUNDIAL!S47</f>
        <v>5</v>
      </c>
      <c r="AX12" s="674" t="n">
        <f aca="false">MUNDIAL!T47</f>
        <v>3</v>
      </c>
      <c r="AY12" s="682" t="n">
        <f aca="false">MUNDIAL!Z47</f>
        <v>3</v>
      </c>
      <c r="AZ12" s="683" t="n">
        <f aca="false">MUNDIAL!X47</f>
        <v>4</v>
      </c>
      <c r="BA12" s="1"/>
    </row>
    <row r="13" customFormat="false" ht="15" hidden="false" customHeight="false" outlineLevel="0" collapsed="false">
      <c r="A13" s="1"/>
      <c r="B13" s="627"/>
      <c r="C13" s="684" t="str">
        <f aca="false">MID(MUNDIAL!I15,1,3)</f>
        <v>Ing</v>
      </c>
      <c r="D13" s="685" t="n">
        <f aca="false">MUNDIAL!K15</f>
        <v>0</v>
      </c>
      <c r="E13" s="686" t="n">
        <f aca="false">MUNDIAL!L15</f>
        <v>0</v>
      </c>
      <c r="F13" s="687" t="str">
        <f aca="false">MID(MUNDIAL!N15,1,3)</f>
        <v>Est</v>
      </c>
      <c r="G13" s="1" t="n">
        <v>3</v>
      </c>
      <c r="H13" s="657" t="str">
        <f aca="false">MID(MUNDIAL!R16,1,3)</f>
        <v>Irá</v>
      </c>
      <c r="I13" s="658" t="n">
        <f aca="false">MUNDIAL!S16</f>
        <v>3</v>
      </c>
      <c r="J13" s="659" t="n">
        <f aca="false">MUNDIAL!T16</f>
        <v>3</v>
      </c>
      <c r="K13" s="659" t="n">
        <f aca="false">MUNDIAL!Z16</f>
        <v>-3</v>
      </c>
      <c r="L13" s="660" t="n">
        <f aca="false">MUNDIAL!X16</f>
        <v>4</v>
      </c>
      <c r="M13" s="1"/>
      <c r="N13" s="593"/>
      <c r="O13" s="593"/>
      <c r="P13" s="593"/>
      <c r="Q13" s="577"/>
      <c r="R13" s="578"/>
      <c r="S13" s="578"/>
      <c r="T13" s="637"/>
      <c r="U13" s="577"/>
      <c r="V13" s="579"/>
      <c r="W13" s="579"/>
      <c r="X13" s="662"/>
      <c r="Y13" s="577"/>
      <c r="Z13" s="580"/>
      <c r="AA13" s="580"/>
      <c r="AB13" s="580"/>
      <c r="AC13" s="590"/>
      <c r="AD13" s="579"/>
      <c r="AE13" s="579"/>
      <c r="AF13" s="579"/>
      <c r="AG13" s="590"/>
      <c r="AH13" s="578"/>
      <c r="AI13" s="578"/>
      <c r="AJ13" s="578"/>
      <c r="AK13" s="577"/>
      <c r="AL13" s="593"/>
      <c r="AM13" s="593"/>
      <c r="AN13" s="593"/>
      <c r="AO13" s="1"/>
      <c r="AP13" s="667"/>
      <c r="AQ13" s="678" t="str">
        <f aca="false">MID(MUNDIAL!I47,1,3)</f>
        <v>Cro</v>
      </c>
      <c r="AR13" s="679" t="n">
        <f aca="false">MUNDIAL!K47</f>
        <v>4</v>
      </c>
      <c r="AS13" s="669" t="n">
        <f aca="false">MUNDIAL!L47</f>
        <v>1</v>
      </c>
      <c r="AT13" s="670" t="str">
        <f aca="false">MID(MUNDIAL!N47,1,3)</f>
        <v>Can</v>
      </c>
      <c r="AU13" s="671" t="n">
        <v>3</v>
      </c>
      <c r="AV13" s="680" t="str">
        <f aca="false">MID(MUNDIAL!R48,1,3)</f>
        <v>Bél</v>
      </c>
      <c r="AW13" s="681" t="n">
        <f aca="false">MUNDIAL!S48</f>
        <v>4</v>
      </c>
      <c r="AX13" s="674" t="n">
        <f aca="false">MUNDIAL!T48</f>
        <v>3</v>
      </c>
      <c r="AY13" s="682" t="n">
        <f aca="false">MUNDIAL!Z48</f>
        <v>-1</v>
      </c>
      <c r="AZ13" s="683" t="n">
        <f aca="false">MUNDIAL!X48</f>
        <v>1</v>
      </c>
      <c r="BA13" s="1"/>
    </row>
    <row r="14" customFormat="false" ht="15" hidden="false" customHeight="false" outlineLevel="0" collapsed="false">
      <c r="A14" s="1"/>
      <c r="B14" s="627"/>
      <c r="C14" s="684" t="str">
        <f aca="false">MID(MUNDIAL!I16,1,3)</f>
        <v>Gal</v>
      </c>
      <c r="D14" s="685" t="n">
        <f aca="false">MUNDIAL!K16</f>
        <v>0</v>
      </c>
      <c r="E14" s="686" t="n">
        <f aca="false">MUNDIAL!L16</f>
        <v>3</v>
      </c>
      <c r="F14" s="687" t="str">
        <f aca="false">MID(MUNDIAL!N16,1,3)</f>
        <v>Ing</v>
      </c>
      <c r="G14" s="1" t="n">
        <v>4</v>
      </c>
      <c r="H14" s="688" t="str">
        <f aca="false">MID(MUNDIAL!R17,1,3)</f>
        <v>Gal</v>
      </c>
      <c r="I14" s="689" t="n">
        <f aca="false">MUNDIAL!S17</f>
        <v>1</v>
      </c>
      <c r="J14" s="659" t="n">
        <f aca="false">MUNDIAL!T17</f>
        <v>3</v>
      </c>
      <c r="K14" s="690" t="n">
        <f aca="false">MUNDIAL!Z17</f>
        <v>-5</v>
      </c>
      <c r="L14" s="691" t="n">
        <f aca="false">MUNDIAL!X17</f>
        <v>1</v>
      </c>
      <c r="M14" s="1"/>
      <c r="N14" s="593"/>
      <c r="O14" s="593"/>
      <c r="P14" s="593"/>
      <c r="Q14" s="577"/>
      <c r="R14" s="578"/>
      <c r="S14" s="578"/>
      <c r="T14" s="637"/>
      <c r="U14" s="577"/>
      <c r="V14" s="579"/>
      <c r="W14" s="579"/>
      <c r="X14" s="662"/>
      <c r="Y14" s="577"/>
      <c r="Z14" s="580"/>
      <c r="AA14" s="580"/>
      <c r="AB14" s="580"/>
      <c r="AC14" s="590"/>
      <c r="AD14" s="579"/>
      <c r="AE14" s="579"/>
      <c r="AF14" s="579"/>
      <c r="AG14" s="590"/>
      <c r="AH14" s="578"/>
      <c r="AI14" s="578"/>
      <c r="AJ14" s="578"/>
      <c r="AK14" s="577"/>
      <c r="AL14" s="593"/>
      <c r="AM14" s="593"/>
      <c r="AN14" s="593"/>
      <c r="AO14" s="1"/>
      <c r="AP14" s="667"/>
      <c r="AQ14" s="692" t="str">
        <f aca="false">MID(MUNDIAL!I48,1,3)</f>
        <v>Cro</v>
      </c>
      <c r="AR14" s="693" t="n">
        <f aca="false">MUNDIAL!K48</f>
        <v>0</v>
      </c>
      <c r="AS14" s="694" t="n">
        <f aca="false">MUNDIAL!L48</f>
        <v>0</v>
      </c>
      <c r="AT14" s="695" t="str">
        <f aca="false">MID(MUNDIAL!N48,1,3)</f>
        <v>Bél</v>
      </c>
      <c r="AU14" s="671" t="n">
        <v>4</v>
      </c>
      <c r="AV14" s="672" t="str">
        <f aca="false">MID(MUNDIAL!R49,1,3)</f>
        <v>Can</v>
      </c>
      <c r="AW14" s="673" t="n">
        <f aca="false">MUNDIAL!S49</f>
        <v>0</v>
      </c>
      <c r="AX14" s="674" t="n">
        <f aca="false">MUNDIAL!T49</f>
        <v>3</v>
      </c>
      <c r="AY14" s="675" t="n">
        <f aca="false">MUNDIAL!Z49</f>
        <v>-5</v>
      </c>
      <c r="AZ14" s="676" t="n">
        <f aca="false">MUNDIAL!X49</f>
        <v>2</v>
      </c>
      <c r="BA14" s="1"/>
    </row>
    <row r="15" customFormat="false" ht="15.75" hidden="false" customHeight="false" outlineLevel="0" collapsed="false">
      <c r="A15" s="1"/>
      <c r="B15" s="696"/>
      <c r="C15" s="697" t="str">
        <f aca="false">MID(MUNDIAL!I17,1,3)</f>
        <v>Irá</v>
      </c>
      <c r="D15" s="698" t="n">
        <f aca="false">MUNDIAL!K17</f>
        <v>0</v>
      </c>
      <c r="E15" s="699" t="n">
        <f aca="false">MUNDIAL!L17</f>
        <v>1</v>
      </c>
      <c r="F15" s="700" t="str">
        <f aca="false">MID(MUNDIAL!N17,1,3)</f>
        <v>Est</v>
      </c>
      <c r="G15" s="701"/>
      <c r="H15" s="702"/>
      <c r="I15" s="703"/>
      <c r="J15" s="703"/>
      <c r="K15" s="703"/>
      <c r="L15" s="704"/>
      <c r="M15" s="1"/>
      <c r="N15" s="593"/>
      <c r="O15" s="593"/>
      <c r="P15" s="593"/>
      <c r="Q15" s="577"/>
      <c r="R15" s="578"/>
      <c r="S15" s="578"/>
      <c r="T15" s="637"/>
      <c r="U15" s="705"/>
      <c r="V15" s="706" t="str">
        <f aca="false">MID(MUNDIAL!I86,1,3)</f>
        <v>W57</v>
      </c>
      <c r="W15" s="707" t="str">
        <f aca="false">IF(ISBLANK(MUNDIAL!K86),"",(MUNDIAL!K86))</f>
        <v/>
      </c>
      <c r="X15" s="708" t="str">
        <f aca="false">IF(ISBLANK(MUNDIAL!J86),"","("&amp;(MUNDIAL!J86)&amp;")")</f>
        <v/>
      </c>
      <c r="Y15" s="577"/>
      <c r="Z15" s="580"/>
      <c r="AA15" s="580"/>
      <c r="AB15" s="580"/>
      <c r="AC15" s="590"/>
      <c r="AD15" s="709" t="str">
        <f aca="false">IF(ISBLANK(MUNDIAL!J87),"","("&amp;(MUNDIAL!J87)&amp;")")</f>
        <v/>
      </c>
      <c r="AE15" s="707" t="str">
        <f aca="false">IF(ISBLANK(MUNDIAL!K87),"",(MUNDIAL!K87))</f>
        <v/>
      </c>
      <c r="AF15" s="710" t="str">
        <f aca="false">MID(MUNDIAL!I87,1,3)</f>
        <v>W59</v>
      </c>
      <c r="AG15" s="611"/>
      <c r="AH15" s="578"/>
      <c r="AI15" s="578"/>
      <c r="AJ15" s="578"/>
      <c r="AK15" s="577"/>
      <c r="AL15" s="593"/>
      <c r="AM15" s="593"/>
      <c r="AN15" s="593"/>
      <c r="AO15" s="1"/>
      <c r="AP15" s="711"/>
      <c r="AQ15" s="712" t="str">
        <f aca="false">MID(MUNDIAL!I49,1,3)</f>
        <v>Can</v>
      </c>
      <c r="AR15" s="713" t="n">
        <f aca="false">MUNDIAL!K49</f>
        <v>1</v>
      </c>
      <c r="AS15" s="714" t="n">
        <f aca="false">MUNDIAL!L49</f>
        <v>2</v>
      </c>
      <c r="AT15" s="715" t="str">
        <f aca="false">MID(MUNDIAL!N49,1,3)</f>
        <v>Mar</v>
      </c>
      <c r="AU15" s="716"/>
      <c r="AV15" s="717"/>
      <c r="AW15" s="718"/>
      <c r="AX15" s="718"/>
      <c r="AY15" s="718"/>
      <c r="AZ15" s="719"/>
      <c r="BA15" s="1"/>
    </row>
    <row r="16" customFormat="false" ht="15.75" hidden="false" customHeight="false" outlineLevel="0" collapsed="false">
      <c r="A16" s="1"/>
      <c r="B16" s="535"/>
      <c r="C16" s="621"/>
      <c r="D16" s="626"/>
      <c r="E16" s="626"/>
      <c r="F16" s="535"/>
      <c r="G16" s="1"/>
      <c r="H16" s="621"/>
      <c r="I16" s="1"/>
      <c r="J16" s="1"/>
      <c r="K16" s="1"/>
      <c r="L16" s="1"/>
      <c r="M16" s="1"/>
      <c r="N16" s="593"/>
      <c r="O16" s="593"/>
      <c r="P16" s="593"/>
      <c r="Q16" s="577"/>
      <c r="R16" s="578"/>
      <c r="S16" s="578"/>
      <c r="T16" s="637"/>
      <c r="U16" s="663"/>
      <c r="V16" s="706" t="str">
        <f aca="false">MID(MUNDIAL!N86,1,3)</f>
        <v>W58</v>
      </c>
      <c r="W16" s="707" t="str">
        <f aca="false">IF(ISBLANK(MUNDIAL!L86),"",(MUNDIAL!L86))</f>
        <v/>
      </c>
      <c r="X16" s="720" t="str">
        <f aca="false">IF(ISBLANK(MUNDIAL!M86),"","("&amp;(MUNDIAL!M86)&amp;")")</f>
        <v/>
      </c>
      <c r="Y16" s="577"/>
      <c r="Z16" s="580"/>
      <c r="AA16" s="580"/>
      <c r="AB16" s="580"/>
      <c r="AC16" s="590"/>
      <c r="AD16" s="721" t="str">
        <f aca="false">IF(ISBLANK(MUNDIAL!M87),"","("&amp;(MUNDIAL!M87)&amp;")")</f>
        <v/>
      </c>
      <c r="AE16" s="707" t="str">
        <f aca="false">IF(ISBLANK(MUNDIAL!L87),"",(MUNDIAL!L87))</f>
        <v/>
      </c>
      <c r="AF16" s="710" t="str">
        <f aca="false">MID(MUNDIAL!N87,1,3)</f>
        <v>W60</v>
      </c>
      <c r="AG16" s="590"/>
      <c r="AH16" s="578"/>
      <c r="AI16" s="578"/>
      <c r="AJ16" s="578"/>
      <c r="AK16" s="577"/>
      <c r="AL16" s="593"/>
      <c r="AM16" s="593"/>
      <c r="AN16" s="593"/>
      <c r="AO16" s="1"/>
      <c r="AP16" s="535"/>
      <c r="AR16" s="722"/>
      <c r="AS16" s="722"/>
      <c r="AU16" s="1"/>
      <c r="AV16" s="621"/>
      <c r="AW16" s="1"/>
      <c r="AX16" s="1"/>
      <c r="AY16" s="1"/>
      <c r="AZ16" s="1"/>
      <c r="BA16" s="1"/>
    </row>
    <row r="17" customFormat="false" ht="15" hidden="false" customHeight="false" outlineLevel="0" collapsed="false">
      <c r="A17" s="1"/>
      <c r="B17" s="723" t="s">
        <v>83</v>
      </c>
      <c r="C17" s="724" t="str">
        <f aca="false">MID(MUNDIAL!I20,1,3)</f>
        <v>Arg</v>
      </c>
      <c r="D17" s="725" t="n">
        <f aca="false">MUNDIAL!K20</f>
        <v>1</v>
      </c>
      <c r="E17" s="726" t="n">
        <f aca="false">MUNDIAL!L20</f>
        <v>2</v>
      </c>
      <c r="F17" s="727" t="str">
        <f aca="false">MID(MUNDIAL!N20,1,3)</f>
        <v>Ara</v>
      </c>
      <c r="G17" s="728"/>
      <c r="H17" s="729" t="s">
        <v>204</v>
      </c>
      <c r="I17" s="730" t="s">
        <v>42</v>
      </c>
      <c r="J17" s="730" t="s">
        <v>205</v>
      </c>
      <c r="K17" s="730" t="s">
        <v>49</v>
      </c>
      <c r="L17" s="731" t="s">
        <v>47</v>
      </c>
      <c r="M17" s="1"/>
      <c r="N17" s="593"/>
      <c r="O17" s="593"/>
      <c r="P17" s="593"/>
      <c r="Q17" s="577"/>
      <c r="R17" s="578"/>
      <c r="S17" s="578"/>
      <c r="T17" s="637"/>
      <c r="U17" s="732"/>
      <c r="V17" s="579"/>
      <c r="W17" s="579"/>
      <c r="X17" s="662"/>
      <c r="Y17" s="577"/>
      <c r="Z17" s="580"/>
      <c r="AA17" s="580"/>
      <c r="AB17" s="580"/>
      <c r="AC17" s="590"/>
      <c r="AD17" s="579"/>
      <c r="AE17" s="579"/>
      <c r="AF17" s="733"/>
      <c r="AG17" s="590"/>
      <c r="AH17" s="578"/>
      <c r="AI17" s="578"/>
      <c r="AJ17" s="578"/>
      <c r="AK17" s="577"/>
      <c r="AL17" s="593"/>
      <c r="AM17" s="593"/>
      <c r="AN17" s="593"/>
      <c r="AO17" s="1"/>
      <c r="AP17" s="734" t="s">
        <v>44</v>
      </c>
      <c r="AQ17" s="735" t="str">
        <f aca="false">MID(MUNDIAL!I52,1,3)</f>
        <v>Sui</v>
      </c>
      <c r="AR17" s="736" t="n">
        <f aca="false">MUNDIAL!K52</f>
        <v>1</v>
      </c>
      <c r="AS17" s="736" t="n">
        <f aca="false">MUNDIAL!L52</f>
        <v>0</v>
      </c>
      <c r="AT17" s="737" t="str">
        <f aca="false">MID(MUNDIAL!N52,1,3)</f>
        <v>Cam</v>
      </c>
      <c r="AU17" s="738"/>
      <c r="AV17" s="739" t="s">
        <v>204</v>
      </c>
      <c r="AW17" s="740" t="s">
        <v>42</v>
      </c>
      <c r="AX17" s="740" t="s">
        <v>205</v>
      </c>
      <c r="AY17" s="740" t="s">
        <v>49</v>
      </c>
      <c r="AZ17" s="741" t="s">
        <v>47</v>
      </c>
      <c r="BA17" s="1"/>
    </row>
    <row r="18" customFormat="false" ht="15" hidden="false" customHeight="false" outlineLevel="0" collapsed="false">
      <c r="A18" s="1"/>
      <c r="B18" s="742"/>
      <c r="C18" s="743" t="str">
        <f aca="false">MID(MUNDIAL!I21,1,3)</f>
        <v>Méx</v>
      </c>
      <c r="D18" s="744" t="n">
        <f aca="false">MUNDIAL!K21</f>
        <v>0</v>
      </c>
      <c r="E18" s="745" t="n">
        <f aca="false">MUNDIAL!L21</f>
        <v>0</v>
      </c>
      <c r="F18" s="746" t="str">
        <f aca="false">MID(MUNDIAL!N21,1,3)</f>
        <v>Pol</v>
      </c>
      <c r="G18" s="747" t="n">
        <v>1</v>
      </c>
      <c r="H18" s="748" t="str">
        <f aca="false">MID(MUNDIAL!R22,1,3)</f>
        <v>Arg</v>
      </c>
      <c r="I18" s="749" t="n">
        <f aca="false">MUNDIAL!S22</f>
        <v>6</v>
      </c>
      <c r="J18" s="750" t="n">
        <f aca="false">MUNDIAL!T22</f>
        <v>3</v>
      </c>
      <c r="K18" s="750" t="n">
        <f aca="false">MUNDIAL!Z22</f>
        <v>3</v>
      </c>
      <c r="L18" s="751" t="n">
        <f aca="false">MUNDIAL!X22</f>
        <v>5</v>
      </c>
      <c r="M18" s="1"/>
      <c r="N18" s="593"/>
      <c r="O18" s="593"/>
      <c r="P18" s="593"/>
      <c r="Q18" s="577"/>
      <c r="R18" s="578"/>
      <c r="S18" s="578"/>
      <c r="T18" s="637"/>
      <c r="U18" s="732"/>
      <c r="V18" s="579"/>
      <c r="W18" s="579"/>
      <c r="X18" s="662"/>
      <c r="Y18" s="577"/>
      <c r="Z18" s="580"/>
      <c r="AA18" s="580"/>
      <c r="AB18" s="580"/>
      <c r="AC18" s="590"/>
      <c r="AD18" s="579"/>
      <c r="AE18" s="579"/>
      <c r="AF18" s="579"/>
      <c r="AG18" s="590"/>
      <c r="AH18" s="578"/>
      <c r="AI18" s="578"/>
      <c r="AJ18" s="578"/>
      <c r="AK18" s="577"/>
      <c r="AL18" s="593"/>
      <c r="AM18" s="593"/>
      <c r="AN18" s="593"/>
      <c r="AO18" s="1"/>
      <c r="AP18" s="752"/>
      <c r="AQ18" s="753" t="str">
        <f aca="false">MID(MUNDIAL!I53,1,3)</f>
        <v>Bra</v>
      </c>
      <c r="AR18" s="754" t="n">
        <f aca="false">MUNDIAL!K53</f>
        <v>2</v>
      </c>
      <c r="AS18" s="754" t="n">
        <f aca="false">MUNDIAL!L53</f>
        <v>0</v>
      </c>
      <c r="AT18" s="755" t="str">
        <f aca="false">MID(MUNDIAL!N53,1,3)</f>
        <v>Ser</v>
      </c>
      <c r="AU18" s="1" t="n">
        <v>1</v>
      </c>
      <c r="AV18" s="756" t="str">
        <f aca="false">MID(MUNDIAL!R54,1,3)</f>
        <v>Bra</v>
      </c>
      <c r="AW18" s="757" t="n">
        <f aca="false">MUNDIAL!S54</f>
        <v>6</v>
      </c>
      <c r="AX18" s="758" t="n">
        <f aca="false">MUNDIAL!T54</f>
        <v>3</v>
      </c>
      <c r="AY18" s="759" t="n">
        <f aca="false">MUNDIAL!Z54</f>
        <v>2</v>
      </c>
      <c r="AZ18" s="760" t="n">
        <f aca="false">MUNDIAL!X54</f>
        <v>3</v>
      </c>
      <c r="BA18" s="1"/>
    </row>
    <row r="19" customFormat="false" ht="15" hidden="false" customHeight="false" outlineLevel="0" collapsed="false">
      <c r="A19" s="1"/>
      <c r="B19" s="742"/>
      <c r="C19" s="761" t="str">
        <f aca="false">MID(MUNDIAL!I22,1,3)</f>
        <v>Pol</v>
      </c>
      <c r="D19" s="762" t="n">
        <f aca="false">MUNDIAL!K22</f>
        <v>2</v>
      </c>
      <c r="E19" s="763" t="n">
        <f aca="false">MUNDIAL!L22</f>
        <v>0</v>
      </c>
      <c r="F19" s="764" t="str">
        <f aca="false">MID(MUNDIAL!N22,1,3)</f>
        <v>Ara</v>
      </c>
      <c r="G19" s="747" t="n">
        <v>2</v>
      </c>
      <c r="H19" s="765" t="str">
        <f aca="false">MID(MUNDIAL!R23,1,3)</f>
        <v>Pol</v>
      </c>
      <c r="I19" s="766" t="n">
        <f aca="false">MUNDIAL!S23</f>
        <v>4</v>
      </c>
      <c r="J19" s="750" t="n">
        <f aca="false">MUNDIAL!T23</f>
        <v>3</v>
      </c>
      <c r="K19" s="767" t="n">
        <f aca="false">MUNDIAL!Z23</f>
        <v>0</v>
      </c>
      <c r="L19" s="751" t="n">
        <f aca="false">MUNDIAL!X23</f>
        <v>2</v>
      </c>
      <c r="M19" s="1"/>
      <c r="N19" s="574" t="str">
        <f aca="false">MID(MUNDIAL!I73,1,3)</f>
        <v>Jap</v>
      </c>
      <c r="O19" s="575" t="n">
        <f aca="false">IF(ISBLANK(MUNDIAL!K73),"",(MUNDIAL!K73))</f>
        <v>1</v>
      </c>
      <c r="P19" s="576" t="str">
        <f aca="false">IF(ISBLANK(MUNDIAL!J73),"","("&amp;(MUNDIAL!J73)&amp;")")</f>
        <v/>
      </c>
      <c r="Q19" s="577"/>
      <c r="R19" s="578"/>
      <c r="S19" s="578"/>
      <c r="T19" s="637"/>
      <c r="U19" s="732"/>
      <c r="V19" s="579"/>
      <c r="W19" s="579"/>
      <c r="X19" s="662"/>
      <c r="Y19" s="577"/>
      <c r="Z19" s="768" t="s">
        <v>96</v>
      </c>
      <c r="AA19" s="548"/>
      <c r="AB19" s="580"/>
      <c r="AC19" s="590"/>
      <c r="AD19" s="579"/>
      <c r="AE19" s="579"/>
      <c r="AF19" s="579"/>
      <c r="AG19" s="590"/>
      <c r="AH19" s="578"/>
      <c r="AI19" s="578"/>
      <c r="AJ19" s="578"/>
      <c r="AK19" s="577"/>
      <c r="AL19" s="581" t="str">
        <f aca="false">IF(ISBLANK(MUNDIAL!J75),"","("&amp;(MUNDIAL!J75)&amp;")")</f>
        <v/>
      </c>
      <c r="AM19" s="575" t="n">
        <f aca="false">IF(ISBLANK(MUNDIAL!K75),"",(MUNDIAL!K75))</f>
        <v>1</v>
      </c>
      <c r="AN19" s="574" t="str">
        <f aca="false">MID(MUNDIAL!I75,1,3)</f>
        <v>Mar</v>
      </c>
      <c r="AO19" s="1"/>
      <c r="AP19" s="752"/>
      <c r="AQ19" s="753" t="str">
        <f aca="false">MID(MUNDIAL!I54,1,3)</f>
        <v>Cam</v>
      </c>
      <c r="AR19" s="754" t="n">
        <f aca="false">MUNDIAL!K54</f>
        <v>3</v>
      </c>
      <c r="AS19" s="754" t="n">
        <f aca="false">MUNDIAL!L54</f>
        <v>3</v>
      </c>
      <c r="AT19" s="755" t="str">
        <f aca="false">MID(MUNDIAL!N54,1,3)</f>
        <v>Ser</v>
      </c>
      <c r="AU19" s="1" t="n">
        <v>2</v>
      </c>
      <c r="AV19" s="769" t="str">
        <f aca="false">MID(MUNDIAL!R55,1,3)</f>
        <v>Sui</v>
      </c>
      <c r="AW19" s="770" t="n">
        <f aca="false">MUNDIAL!S55</f>
        <v>6</v>
      </c>
      <c r="AX19" s="758" t="n">
        <f aca="false">MUNDIAL!T55</f>
        <v>3</v>
      </c>
      <c r="AY19" s="771" t="n">
        <f aca="false">MUNDIAL!Z55</f>
        <v>1</v>
      </c>
      <c r="AZ19" s="772" t="n">
        <f aca="false">MUNDIAL!X55</f>
        <v>4</v>
      </c>
      <c r="BA19" s="1"/>
    </row>
    <row r="20" customFormat="false" ht="15" hidden="false" customHeight="false" outlineLevel="0" collapsed="false">
      <c r="A20" s="1"/>
      <c r="B20" s="742"/>
      <c r="C20" s="761" t="str">
        <f aca="false">MID(MUNDIAL!I23,1,3)</f>
        <v>Arg</v>
      </c>
      <c r="D20" s="762" t="n">
        <f aca="false">MUNDIAL!K23</f>
        <v>2</v>
      </c>
      <c r="E20" s="763" t="n">
        <f aca="false">MUNDIAL!L23</f>
        <v>0</v>
      </c>
      <c r="F20" s="764" t="str">
        <f aca="false">MID(MUNDIAL!N23,1,3)</f>
        <v>Méx</v>
      </c>
      <c r="G20" s="747" t="n">
        <v>3</v>
      </c>
      <c r="H20" s="765" t="str">
        <f aca="false">MID(MUNDIAL!R24,1,3)</f>
        <v>Méx</v>
      </c>
      <c r="I20" s="766" t="n">
        <f aca="false">MUNDIAL!S24</f>
        <v>4</v>
      </c>
      <c r="J20" s="750" t="n">
        <f aca="false">MUNDIAL!T24</f>
        <v>3</v>
      </c>
      <c r="K20" s="767" t="n">
        <f aca="false">MUNDIAL!Z24</f>
        <v>-1</v>
      </c>
      <c r="L20" s="751" t="n">
        <f aca="false">MUNDIAL!X24</f>
        <v>2</v>
      </c>
      <c r="M20" s="1"/>
      <c r="N20" s="574" t="str">
        <f aca="false">MID(MUNDIAL!N73,1,3)</f>
        <v>Cro</v>
      </c>
      <c r="O20" s="575" t="n">
        <f aca="false">IF(ISBLANK(MUNDIAL!L73),"",(MUNDIAL!L73))</f>
        <v>2</v>
      </c>
      <c r="P20" s="589" t="str">
        <f aca="false">IF(ISBLANK(MUNDIAL!M73),"","("&amp;(MUNDIAL!M73)&amp;")")</f>
        <v/>
      </c>
      <c r="Q20" s="577"/>
      <c r="R20" s="578"/>
      <c r="S20" s="578"/>
      <c r="T20" s="637"/>
      <c r="U20" s="732"/>
      <c r="V20" s="579"/>
      <c r="W20" s="579"/>
      <c r="X20" s="662"/>
      <c r="Y20" s="773"/>
      <c r="Z20" s="664" t="str">
        <f aca="false">MID(MUNDIAL!I93,1,3)</f>
        <v>W61</v>
      </c>
      <c r="AA20" s="640" t="str">
        <f aca="false">IF(ISBLANK(MUNDIAL!K93),"",(MUNDIAL!K93))</f>
        <v/>
      </c>
      <c r="AB20" s="641" t="str">
        <f aca="false">IF(ISBLANK(MUNDIAL!J93),"","("&amp;(MUNDIAL!J93)&amp;")")</f>
        <v/>
      </c>
      <c r="AC20" s="774"/>
      <c r="AD20" s="579"/>
      <c r="AE20" s="579"/>
      <c r="AF20" s="579"/>
      <c r="AG20" s="590"/>
      <c r="AH20" s="578"/>
      <c r="AI20" s="578"/>
      <c r="AJ20" s="578"/>
      <c r="AK20" s="590"/>
      <c r="AL20" s="591" t="str">
        <f aca="false">IF(ISBLANK(MUNDIAL!M75),"","("&amp;(MUNDIAL!M75)&amp;")")</f>
        <v/>
      </c>
      <c r="AM20" s="575" t="n">
        <f aca="false">IF(ISBLANK(MUNDIAL!L75),"",(MUNDIAL!L75))</f>
        <v>3</v>
      </c>
      <c r="AN20" s="574" t="str">
        <f aca="false">MID(MUNDIAL!N75,1,3)</f>
        <v>Esp</v>
      </c>
      <c r="AO20" s="1"/>
      <c r="AP20" s="752"/>
      <c r="AQ20" s="753" t="str">
        <f aca="false">MID(MUNDIAL!I55,1,3)</f>
        <v>Bra</v>
      </c>
      <c r="AR20" s="754" t="n">
        <f aca="false">MUNDIAL!K55</f>
        <v>1</v>
      </c>
      <c r="AS20" s="754" t="n">
        <f aca="false">MUNDIAL!L55</f>
        <v>0</v>
      </c>
      <c r="AT20" s="755" t="str">
        <f aca="false">MID(MUNDIAL!N55,1,3)</f>
        <v>Sui</v>
      </c>
      <c r="AU20" s="1" t="n">
        <v>3</v>
      </c>
      <c r="AV20" s="769" t="str">
        <f aca="false">MID(MUNDIAL!R56,1,3)</f>
        <v>Cam</v>
      </c>
      <c r="AW20" s="770" t="n">
        <f aca="false">MUNDIAL!S56</f>
        <v>4</v>
      </c>
      <c r="AX20" s="758" t="n">
        <f aca="false">MUNDIAL!T56</f>
        <v>3</v>
      </c>
      <c r="AY20" s="771" t="n">
        <f aca="false">MUNDIAL!Z56</f>
        <v>0</v>
      </c>
      <c r="AZ20" s="772" t="n">
        <f aca="false">MUNDIAL!X56</f>
        <v>4</v>
      </c>
      <c r="BA20" s="1"/>
    </row>
    <row r="21" customFormat="false" ht="15" hidden="false" customHeight="false" outlineLevel="0" collapsed="false">
      <c r="A21" s="1"/>
      <c r="B21" s="742"/>
      <c r="C21" s="761" t="str">
        <f aca="false">MID(MUNDIAL!I24,1,3)</f>
        <v>Pol</v>
      </c>
      <c r="D21" s="762" t="n">
        <f aca="false">MUNDIAL!K24</f>
        <v>0</v>
      </c>
      <c r="E21" s="763" t="n">
        <f aca="false">MUNDIAL!L24</f>
        <v>2</v>
      </c>
      <c r="F21" s="764" t="str">
        <f aca="false">MID(MUNDIAL!N24,1,3)</f>
        <v>Arg</v>
      </c>
      <c r="G21" s="747" t="n">
        <v>4</v>
      </c>
      <c r="H21" s="765" t="str">
        <f aca="false">MID(MUNDIAL!R25,1,3)</f>
        <v>Ara</v>
      </c>
      <c r="I21" s="766" t="n">
        <f aca="false">MUNDIAL!S25</f>
        <v>3</v>
      </c>
      <c r="J21" s="750" t="n">
        <f aca="false">MUNDIAL!T25</f>
        <v>3</v>
      </c>
      <c r="K21" s="767" t="n">
        <f aca="false">MUNDIAL!Z25</f>
        <v>-2</v>
      </c>
      <c r="L21" s="751" t="n">
        <f aca="false">MUNDIAL!X25</f>
        <v>3</v>
      </c>
      <c r="M21" s="1"/>
      <c r="N21" s="593"/>
      <c r="O21" s="593"/>
      <c r="P21" s="594"/>
      <c r="Q21" s="577"/>
      <c r="R21" s="578"/>
      <c r="S21" s="578"/>
      <c r="T21" s="637"/>
      <c r="U21" s="732"/>
      <c r="V21" s="579"/>
      <c r="W21" s="579"/>
      <c r="X21" s="579"/>
      <c r="Y21" s="577"/>
      <c r="Z21" s="639" t="str">
        <f aca="false">MID(MUNDIAL!N93,1,3)</f>
        <v>W62</v>
      </c>
      <c r="AA21" s="640" t="str">
        <f aca="false">IF(ISBLANK(MUNDIAL!L93),"",(MUNDIAL!L93))</f>
        <v/>
      </c>
      <c r="AB21" s="665" t="str">
        <f aca="false">IF(ISBLANK(MUNDIAL!M93),"","("&amp;(MUNDIAL!M93)&amp;")")</f>
        <v/>
      </c>
      <c r="AC21" s="577"/>
      <c r="AD21" s="579"/>
      <c r="AE21" s="579"/>
      <c r="AF21" s="579"/>
      <c r="AG21" s="590"/>
      <c r="AH21" s="578"/>
      <c r="AI21" s="578"/>
      <c r="AJ21" s="595"/>
      <c r="AK21" s="590"/>
      <c r="AL21" s="593"/>
      <c r="AM21" s="593"/>
      <c r="AN21" s="593"/>
      <c r="AO21" s="1"/>
      <c r="AP21" s="752"/>
      <c r="AQ21" s="753" t="str">
        <f aca="false">MID(MUNDIAL!I56,1,3)</f>
        <v>Ser</v>
      </c>
      <c r="AR21" s="754" t="n">
        <f aca="false">MUNDIAL!K56</f>
        <v>2</v>
      </c>
      <c r="AS21" s="754" t="n">
        <f aca="false">MUNDIAL!L56</f>
        <v>3</v>
      </c>
      <c r="AT21" s="755" t="str">
        <f aca="false">MID(MUNDIAL!N56,1,3)</f>
        <v>Sui</v>
      </c>
      <c r="AU21" s="1" t="n">
        <v>4</v>
      </c>
      <c r="AV21" s="775" t="str">
        <f aca="false">MID(MUNDIAL!R57,1,3)</f>
        <v>Ser</v>
      </c>
      <c r="AW21" s="776" t="n">
        <f aca="false">MUNDIAL!S57</f>
        <v>1</v>
      </c>
      <c r="AX21" s="758" t="n">
        <f aca="false">MUNDIAL!T57</f>
        <v>3</v>
      </c>
      <c r="AY21" s="777" t="n">
        <f aca="false">MUNDIAL!Z57</f>
        <v>-3</v>
      </c>
      <c r="AZ21" s="778" t="n">
        <f aca="false">MUNDIAL!X57</f>
        <v>5</v>
      </c>
      <c r="BA21" s="1"/>
    </row>
    <row r="22" customFormat="false" ht="15.75" hidden="false" customHeight="false" outlineLevel="0" collapsed="false">
      <c r="A22" s="1"/>
      <c r="B22" s="779"/>
      <c r="C22" s="780" t="str">
        <f aca="false">MID(MUNDIAL!I25,1,3)</f>
        <v>Ara</v>
      </c>
      <c r="D22" s="781" t="n">
        <f aca="false">MUNDIAL!K25</f>
        <v>1</v>
      </c>
      <c r="E22" s="782" t="n">
        <f aca="false">MUNDIAL!L25</f>
        <v>2</v>
      </c>
      <c r="F22" s="783" t="str">
        <f aca="false">MID(MUNDIAL!N25,1,3)</f>
        <v>Méx</v>
      </c>
      <c r="G22" s="784"/>
      <c r="H22" s="785"/>
      <c r="I22" s="786"/>
      <c r="J22" s="786"/>
      <c r="K22" s="786"/>
      <c r="L22" s="787"/>
      <c r="M22" s="1"/>
      <c r="N22" s="593"/>
      <c r="O22" s="593"/>
      <c r="P22" s="594"/>
      <c r="Q22" s="606"/>
      <c r="R22" s="788" t="str">
        <f aca="false">MID(MUNDIAL!I80,1,3)</f>
        <v>Cro</v>
      </c>
      <c r="S22" s="608" t="str">
        <f aca="false">IF(ISBLANK(MUNDIAL!K80),"",(MUNDIAL!K80))</f>
        <v/>
      </c>
      <c r="T22" s="789" t="str">
        <f aca="false">IF(ISBLANK(MUNDIAL!J80),"","("&amp;(MUNDIAL!J80)&amp;")")</f>
        <v/>
      </c>
      <c r="U22" s="732"/>
      <c r="V22" s="579"/>
      <c r="W22" s="579"/>
      <c r="X22" s="579"/>
      <c r="Y22" s="577"/>
      <c r="Z22" s="580"/>
      <c r="AA22" s="580"/>
      <c r="AB22" s="580"/>
      <c r="AC22" s="577"/>
      <c r="AD22" s="579"/>
      <c r="AE22" s="579"/>
      <c r="AF22" s="579"/>
      <c r="AG22" s="590"/>
      <c r="AH22" s="610" t="str">
        <f aca="false">IF(ISBLANK(MUNDIAL!J82),"","("&amp;(MUNDIAL!J82)&amp;")")</f>
        <v/>
      </c>
      <c r="AI22" s="608" t="str">
        <f aca="false">IF(ISBLANK(MUNDIAL!K82),"",(MUNDIAL!K82))</f>
        <v/>
      </c>
      <c r="AJ22" s="607" t="str">
        <f aca="false">MID(MUNDIAL!I82,1,3)</f>
        <v>Esp</v>
      </c>
      <c r="AK22" s="611"/>
      <c r="AL22" s="593"/>
      <c r="AM22" s="593"/>
      <c r="AN22" s="593"/>
      <c r="AO22" s="1"/>
      <c r="AP22" s="790"/>
      <c r="AQ22" s="791" t="str">
        <f aca="false">MID(MUNDIAL!I57,1,3)</f>
        <v>Cam</v>
      </c>
      <c r="AR22" s="792" t="n">
        <f aca="false">MUNDIAL!K57</f>
        <v>1</v>
      </c>
      <c r="AS22" s="792" t="n">
        <f aca="false">MUNDIAL!L57</f>
        <v>0</v>
      </c>
      <c r="AT22" s="793" t="str">
        <f aca="false">MID(MUNDIAL!N57,1,3)</f>
        <v>Bra</v>
      </c>
      <c r="AU22" s="794"/>
      <c r="AV22" s="795"/>
      <c r="AW22" s="796"/>
      <c r="AX22" s="796"/>
      <c r="AY22" s="796"/>
      <c r="AZ22" s="797"/>
      <c r="BA22" s="1"/>
    </row>
    <row r="23" customFormat="false" ht="15.75" hidden="false" customHeight="false" outlineLevel="0" collapsed="false">
      <c r="A23" s="1"/>
      <c r="B23" s="626"/>
      <c r="C23" s="621"/>
      <c r="D23" s="5"/>
      <c r="E23" s="5"/>
      <c r="F23" s="1"/>
      <c r="G23" s="1"/>
      <c r="H23" s="621"/>
      <c r="I23" s="1"/>
      <c r="J23" s="1"/>
      <c r="K23" s="1"/>
      <c r="L23" s="1"/>
      <c r="M23" s="1"/>
      <c r="N23" s="593"/>
      <c r="O23" s="593"/>
      <c r="P23" s="594"/>
      <c r="Q23" s="798"/>
      <c r="R23" s="788" t="str">
        <f aca="false">MID(MUNDIAL!N80,1,3)</f>
        <v>Bra</v>
      </c>
      <c r="S23" s="608" t="str">
        <f aca="false">IF(ISBLANK(MUNDIAL!L80),"",(MUNDIAL!L80))</f>
        <v/>
      </c>
      <c r="T23" s="799" t="str">
        <f aca="false">IF(ISBLANK(MUNDIAL!M80),"","("&amp;(MUNDIAL!M80)&amp;")")</f>
        <v/>
      </c>
      <c r="U23" s="577"/>
      <c r="V23" s="579"/>
      <c r="W23" s="579"/>
      <c r="X23" s="579"/>
      <c r="Y23" s="577"/>
      <c r="Z23" s="800"/>
      <c r="AA23" s="800" t="str">
        <f aca="false">MID(MUNDIAL!I97,1,3)</f>
        <v>WF</v>
      </c>
      <c r="AB23" s="800"/>
      <c r="AC23" s="577"/>
      <c r="AD23" s="579"/>
      <c r="AE23" s="579"/>
      <c r="AF23" s="579"/>
      <c r="AG23" s="577"/>
      <c r="AH23" s="623" t="str">
        <f aca="false">IF(ISBLANK(MUNDIAL!M82),"","("&amp;(MUNDIAL!M82)&amp;")")</f>
        <v/>
      </c>
      <c r="AI23" s="608" t="str">
        <f aca="false">IF(ISBLANK(MUNDIAL!L82),"",(MUNDIAL!L82))</f>
        <v/>
      </c>
      <c r="AJ23" s="607" t="str">
        <f aca="false">MID(MUNDIAL!N82,1,3)</f>
        <v>Por</v>
      </c>
      <c r="AK23" s="590"/>
      <c r="AL23" s="593"/>
      <c r="AM23" s="593"/>
      <c r="AN23" s="593"/>
      <c r="AO23" s="1"/>
      <c r="AP23" s="626"/>
      <c r="AQ23" s="535"/>
      <c r="AR23" s="801"/>
      <c r="AS23" s="801"/>
      <c r="AT23" s="535"/>
      <c r="AU23" s="1"/>
      <c r="AV23" s="621"/>
      <c r="AW23" s="1"/>
      <c r="AX23" s="1"/>
      <c r="AY23" s="1"/>
      <c r="AZ23" s="1"/>
      <c r="BA23" s="1"/>
    </row>
    <row r="24" customFormat="false" ht="15" hidden="false" customHeight="false" outlineLevel="0" collapsed="false">
      <c r="A24" s="1"/>
      <c r="B24" s="802" t="s">
        <v>84</v>
      </c>
      <c r="C24" s="803" t="str">
        <f aca="false">MID(MUNDIAL!I28,1,3)</f>
        <v>Din</v>
      </c>
      <c r="D24" s="804" t="n">
        <f aca="false">MUNDIAL!K28</f>
        <v>0</v>
      </c>
      <c r="E24" s="804" t="n">
        <f aca="false">MUNDIAL!L28</f>
        <v>0</v>
      </c>
      <c r="F24" s="805" t="str">
        <f aca="false">MID(MUNDIAL!N28,1,3)</f>
        <v>Tún</v>
      </c>
      <c r="G24" s="806"/>
      <c r="H24" s="807" t="s">
        <v>204</v>
      </c>
      <c r="I24" s="808" t="s">
        <v>42</v>
      </c>
      <c r="J24" s="808" t="s">
        <v>205</v>
      </c>
      <c r="K24" s="808" t="s">
        <v>49</v>
      </c>
      <c r="L24" s="809" t="s">
        <v>47</v>
      </c>
      <c r="M24" s="1"/>
      <c r="N24" s="593"/>
      <c r="O24" s="593"/>
      <c r="P24" s="594"/>
      <c r="Q24" s="577"/>
      <c r="R24" s="578"/>
      <c r="S24" s="578"/>
      <c r="T24" s="578"/>
      <c r="U24" s="577"/>
      <c r="V24" s="579"/>
      <c r="W24" s="579"/>
      <c r="X24" s="579"/>
      <c r="Y24" s="577"/>
      <c r="Z24" s="800" t="str">
        <f aca="false">MID(MUNDIAL!I98,1,3)</f>
        <v>LF</v>
      </c>
      <c r="AA24" s="810"/>
      <c r="AB24" s="800"/>
      <c r="AC24" s="577"/>
      <c r="AD24" s="579"/>
      <c r="AE24" s="579"/>
      <c r="AF24" s="579"/>
      <c r="AG24" s="577"/>
      <c r="AH24" s="578"/>
      <c r="AI24" s="578"/>
      <c r="AJ24" s="642"/>
      <c r="AK24" s="590"/>
      <c r="AL24" s="593"/>
      <c r="AM24" s="593"/>
      <c r="AN24" s="593"/>
      <c r="AO24" s="1"/>
      <c r="AP24" s="811" t="s">
        <v>86</v>
      </c>
      <c r="AQ24" s="812" t="str">
        <f aca="false">MID(MUNDIAL!I60,1,3)</f>
        <v>Uru</v>
      </c>
      <c r="AR24" s="813" t="n">
        <f aca="false">MUNDIAL!K60</f>
        <v>0</v>
      </c>
      <c r="AS24" s="813" t="n">
        <f aca="false">MUNDIAL!L60</f>
        <v>0</v>
      </c>
      <c r="AT24" s="814" t="str">
        <f aca="false">MID(MUNDIAL!N60,1,3)</f>
        <v>Cor</v>
      </c>
      <c r="AU24" s="815"/>
      <c r="AV24" s="816" t="s">
        <v>204</v>
      </c>
      <c r="AW24" s="817" t="s">
        <v>42</v>
      </c>
      <c r="AX24" s="817" t="s">
        <v>205</v>
      </c>
      <c r="AY24" s="817" t="s">
        <v>49</v>
      </c>
      <c r="AZ24" s="818" t="s">
        <v>47</v>
      </c>
      <c r="BA24" s="1"/>
    </row>
    <row r="25" customFormat="false" ht="15" hidden="false" customHeight="false" outlineLevel="0" collapsed="false">
      <c r="A25" s="1"/>
      <c r="B25" s="819"/>
      <c r="C25" s="820" t="str">
        <f aca="false">MID(MUNDIAL!I29,1,3)</f>
        <v>Fra</v>
      </c>
      <c r="D25" s="821" t="n">
        <f aca="false">MUNDIAL!K29</f>
        <v>4</v>
      </c>
      <c r="E25" s="821" t="n">
        <f aca="false">MUNDIAL!L29</f>
        <v>1</v>
      </c>
      <c r="F25" s="822" t="str">
        <f aca="false">MID(MUNDIAL!N29,1,3)</f>
        <v>Aus</v>
      </c>
      <c r="G25" s="1" t="n">
        <v>1</v>
      </c>
      <c r="H25" s="823" t="str">
        <f aca="false">MID(MUNDIAL!R30,1,3)</f>
        <v>Fra</v>
      </c>
      <c r="I25" s="824" t="n">
        <f aca="false">MUNDIAL!S30</f>
        <v>6</v>
      </c>
      <c r="J25" s="825" t="n">
        <f aca="false">MUNDIAL!T30</f>
        <v>3</v>
      </c>
      <c r="K25" s="825" t="n">
        <f aca="false">MUNDIAL!Z30</f>
        <v>3</v>
      </c>
      <c r="L25" s="826" t="n">
        <f aca="false">MUNDIAL!X30</f>
        <v>6</v>
      </c>
      <c r="M25" s="1"/>
      <c r="N25" s="574" t="str">
        <f aca="false">MID(MUNDIAL!I74,1,3)</f>
        <v>Bra</v>
      </c>
      <c r="O25" s="575" t="n">
        <f aca="false">IF(ISBLANK(MUNDIAL!K74),"",(MUNDIAL!K74))</f>
        <v>2</v>
      </c>
      <c r="P25" s="661" t="str">
        <f aca="false">IF(ISBLANK(MUNDIAL!J74),"","("&amp;(MUNDIAL!J74)&amp;")")</f>
        <v/>
      </c>
      <c r="Q25" s="577"/>
      <c r="R25" s="578"/>
      <c r="S25" s="578"/>
      <c r="T25" s="578"/>
      <c r="U25" s="577"/>
      <c r="V25" s="579"/>
      <c r="W25" s="827"/>
      <c r="X25" s="579"/>
      <c r="Y25" s="577"/>
      <c r="Z25" s="828"/>
      <c r="AA25" s="810"/>
      <c r="AB25" s="800" t="str">
        <f aca="false">MID(MUNDIAL!I99,1,3)</f>
        <v>W34</v>
      </c>
      <c r="AC25" s="577"/>
      <c r="AD25" s="579"/>
      <c r="AE25" s="579"/>
      <c r="AF25" s="579"/>
      <c r="AG25" s="577"/>
      <c r="AH25" s="578"/>
      <c r="AI25" s="578"/>
      <c r="AJ25" s="578"/>
      <c r="AK25" s="590"/>
      <c r="AL25" s="581" t="str">
        <f aca="false">IF(ISBLANK(MUNDIAL!J76),"","("&amp;(MUNDIAL!J76)&amp;")")</f>
        <v/>
      </c>
      <c r="AM25" s="575" t="n">
        <f aca="false">IF(ISBLANK(MUNDIAL!K76),"",(MUNDIAL!K76))</f>
        <v>3</v>
      </c>
      <c r="AN25" s="574" t="str">
        <f aca="false">MID(MUNDIAL!I76,1,3)</f>
        <v>Por</v>
      </c>
      <c r="AO25" s="1"/>
      <c r="AP25" s="829"/>
      <c r="AQ25" s="830" t="str">
        <f aca="false">MID(MUNDIAL!I61,1,3)</f>
        <v>Por</v>
      </c>
      <c r="AR25" s="831" t="n">
        <f aca="false">MUNDIAL!K61</f>
        <v>3</v>
      </c>
      <c r="AS25" s="831" t="n">
        <f aca="false">MUNDIAL!L61</f>
        <v>2</v>
      </c>
      <c r="AT25" s="832" t="str">
        <f aca="false">MID(MUNDIAL!N61,1,3)</f>
        <v>Gha</v>
      </c>
      <c r="AU25" s="833" t="n">
        <v>1</v>
      </c>
      <c r="AV25" s="834" t="str">
        <f aca="false">MID(MUNDIAL!R62,1,3)</f>
        <v>Por</v>
      </c>
      <c r="AW25" s="835" t="n">
        <f aca="false">MUNDIAL!S62</f>
        <v>6</v>
      </c>
      <c r="AX25" s="836" t="n">
        <f aca="false">MUNDIAL!T62</f>
        <v>3</v>
      </c>
      <c r="AY25" s="836" t="n">
        <f aca="false">MUNDIAL!Z62</f>
        <v>2</v>
      </c>
      <c r="AZ25" s="837" t="n">
        <f aca="false">MUNDIAL!X62</f>
        <v>6</v>
      </c>
      <c r="BA25" s="1"/>
    </row>
    <row r="26" customFormat="false" ht="15" hidden="false" customHeight="false" outlineLevel="0" collapsed="false">
      <c r="A26" s="1"/>
      <c r="B26" s="819"/>
      <c r="C26" s="820" t="str">
        <f aca="false">MID(MUNDIAL!I30,1,3)</f>
        <v>Tún</v>
      </c>
      <c r="D26" s="821" t="n">
        <f aca="false">MUNDIAL!K30</f>
        <v>0</v>
      </c>
      <c r="E26" s="821" t="n">
        <f aca="false">MUNDIAL!L30</f>
        <v>1</v>
      </c>
      <c r="F26" s="822" t="str">
        <f aca="false">MID(MUNDIAL!N30,1,3)</f>
        <v>Aus</v>
      </c>
      <c r="G26" s="1" t="n">
        <v>2</v>
      </c>
      <c r="H26" s="823" t="str">
        <f aca="false">MID(MUNDIAL!R31,1,3)</f>
        <v>Aus</v>
      </c>
      <c r="I26" s="824" t="n">
        <f aca="false">MUNDIAL!S31</f>
        <v>6</v>
      </c>
      <c r="J26" s="825" t="n">
        <f aca="false">MUNDIAL!T31</f>
        <v>3</v>
      </c>
      <c r="K26" s="825" t="n">
        <f aca="false">MUNDIAL!Z31</f>
        <v>-1</v>
      </c>
      <c r="L26" s="826" t="n">
        <f aca="false">MUNDIAL!X31</f>
        <v>3</v>
      </c>
      <c r="M26" s="1"/>
      <c r="N26" s="574" t="str">
        <f aca="false">MID(MUNDIAL!N74,1,3)</f>
        <v>Cor</v>
      </c>
      <c r="O26" s="575" t="n">
        <f aca="false">IF(ISBLANK(MUNDIAL!L74),"",(MUNDIAL!L74))</f>
        <v>0</v>
      </c>
      <c r="P26" s="677" t="str">
        <f aca="false">IF(ISBLANK(MUNDIAL!M74),"","("&amp;(MUNDIAL!M74)&amp;")")</f>
        <v/>
      </c>
      <c r="Q26" s="577"/>
      <c r="R26" s="578"/>
      <c r="S26" s="578"/>
      <c r="T26" s="578"/>
      <c r="U26" s="577"/>
      <c r="V26" s="579"/>
      <c r="W26" s="579"/>
      <c r="X26" s="579"/>
      <c r="Y26" s="577"/>
      <c r="Z26" s="838" t="s">
        <v>207</v>
      </c>
      <c r="AA26" s="839" t="s">
        <v>208</v>
      </c>
      <c r="AB26" s="840" t="s">
        <v>209</v>
      </c>
      <c r="AC26" s="577"/>
      <c r="AD26" s="579"/>
      <c r="AE26" s="579"/>
      <c r="AF26" s="579"/>
      <c r="AG26" s="577"/>
      <c r="AH26" s="578"/>
      <c r="AI26" s="578"/>
      <c r="AJ26" s="578"/>
      <c r="AK26" s="577"/>
      <c r="AL26" s="591" t="str">
        <f aca="false">IF(ISBLANK(MUNDIAL!M76),"","("&amp;(MUNDIAL!M76)&amp;")")</f>
        <v/>
      </c>
      <c r="AM26" s="575" t="n">
        <f aca="false">IF(ISBLANK(MUNDIAL!L76),"",(MUNDIAL!L76))</f>
        <v>2</v>
      </c>
      <c r="AN26" s="574" t="str">
        <f aca="false">MID(MUNDIAL!N76,1,3)</f>
        <v>Sui</v>
      </c>
      <c r="AO26" s="1"/>
      <c r="AP26" s="829"/>
      <c r="AQ26" s="830" t="str">
        <f aca="false">MID(MUNDIAL!I62,1,3)</f>
        <v>Cor</v>
      </c>
      <c r="AR26" s="831" t="n">
        <f aca="false">MUNDIAL!K62</f>
        <v>2</v>
      </c>
      <c r="AS26" s="831" t="n">
        <f aca="false">MUNDIAL!L62</f>
        <v>3</v>
      </c>
      <c r="AT26" s="832" t="str">
        <f aca="false">MID(MUNDIAL!N62,1,3)</f>
        <v>Gha</v>
      </c>
      <c r="AU26" s="833" t="n">
        <v>2</v>
      </c>
      <c r="AV26" s="834" t="str">
        <f aca="false">MID(MUNDIAL!R63,1,3)</f>
        <v>Cor</v>
      </c>
      <c r="AW26" s="835" t="n">
        <f aca="false">MUNDIAL!S63</f>
        <v>4</v>
      </c>
      <c r="AX26" s="836" t="n">
        <f aca="false">MUNDIAL!T63</f>
        <v>3</v>
      </c>
      <c r="AY26" s="836" t="n">
        <f aca="false">MUNDIAL!Z63</f>
        <v>0</v>
      </c>
      <c r="AZ26" s="837" t="n">
        <f aca="false">MUNDIAL!X63</f>
        <v>4</v>
      </c>
      <c r="BA26" s="1"/>
    </row>
    <row r="27" customFormat="false" ht="15" hidden="false" customHeight="false" outlineLevel="0" collapsed="false">
      <c r="A27" s="1"/>
      <c r="B27" s="841"/>
      <c r="C27" s="820" t="str">
        <f aca="false">MID(MUNDIAL!I31,1,3)</f>
        <v>Fra</v>
      </c>
      <c r="D27" s="821" t="n">
        <f aca="false">MUNDIAL!K31</f>
        <v>2</v>
      </c>
      <c r="E27" s="821" t="n">
        <f aca="false">MUNDIAL!L31</f>
        <v>1</v>
      </c>
      <c r="F27" s="822" t="str">
        <f aca="false">MID(MUNDIAL!N31,1,3)</f>
        <v>Din</v>
      </c>
      <c r="G27" s="1" t="n">
        <v>3</v>
      </c>
      <c r="H27" s="823" t="str">
        <f aca="false">MID(MUNDIAL!R32,1,3)</f>
        <v>Tún</v>
      </c>
      <c r="I27" s="824" t="n">
        <f aca="false">MUNDIAL!S32</f>
        <v>4</v>
      </c>
      <c r="J27" s="825" t="n">
        <f aca="false">MUNDIAL!T32</f>
        <v>3</v>
      </c>
      <c r="K27" s="825" t="n">
        <f aca="false">MUNDIAL!Z32</f>
        <v>0</v>
      </c>
      <c r="L27" s="826" t="n">
        <f aca="false">MUNDIAL!X32</f>
        <v>1</v>
      </c>
      <c r="M27" s="1"/>
      <c r="N27" s="545"/>
      <c r="O27" s="545"/>
      <c r="P27" s="545"/>
      <c r="Q27" s="1"/>
      <c r="R27" s="546"/>
      <c r="S27" s="546"/>
      <c r="T27" s="546"/>
      <c r="U27" s="1"/>
      <c r="V27" s="547"/>
      <c r="W27" s="547"/>
      <c r="X27" s="547"/>
      <c r="Y27" s="1"/>
      <c r="Z27" s="548"/>
      <c r="AA27" s="548"/>
      <c r="AB27" s="548"/>
      <c r="AC27" s="1"/>
      <c r="AD27" s="547"/>
      <c r="AE27" s="547"/>
      <c r="AF27" s="547"/>
      <c r="AG27" s="1"/>
      <c r="AH27" s="546"/>
      <c r="AI27" s="546"/>
      <c r="AJ27" s="546"/>
      <c r="AK27" s="1"/>
      <c r="AL27" s="545"/>
      <c r="AM27" s="545"/>
      <c r="AN27" s="545"/>
      <c r="AO27" s="1"/>
      <c r="AP27" s="842"/>
      <c r="AQ27" s="830" t="str">
        <f aca="false">MID(MUNDIAL!I63,1,3)</f>
        <v>Por</v>
      </c>
      <c r="AR27" s="831" t="n">
        <f aca="false">MUNDIAL!K63</f>
        <v>2</v>
      </c>
      <c r="AS27" s="831" t="n">
        <f aca="false">MUNDIAL!L63</f>
        <v>0</v>
      </c>
      <c r="AT27" s="832" t="str">
        <f aca="false">MID(MUNDIAL!N63,1,3)</f>
        <v>Uru</v>
      </c>
      <c r="AU27" s="833" t="n">
        <v>3</v>
      </c>
      <c r="AV27" s="834" t="str">
        <f aca="false">MID(MUNDIAL!R64,1,3)</f>
        <v>Uru</v>
      </c>
      <c r="AW27" s="835" t="n">
        <f aca="false">MUNDIAL!S64</f>
        <v>4</v>
      </c>
      <c r="AX27" s="836" t="n">
        <f aca="false">MUNDIAL!T64</f>
        <v>3</v>
      </c>
      <c r="AY27" s="836" t="n">
        <f aca="false">MUNDIAL!Z64</f>
        <v>0</v>
      </c>
      <c r="AZ27" s="837" t="n">
        <f aca="false">MUNDIAL!X64</f>
        <v>2</v>
      </c>
      <c r="BA27" s="1"/>
    </row>
    <row r="28" customFormat="false" ht="15" hidden="false" customHeight="false" outlineLevel="0" collapsed="false">
      <c r="A28" s="1"/>
      <c r="B28" s="841"/>
      <c r="C28" s="820" t="str">
        <f aca="false">MID(MUNDIAL!I32,1,3)</f>
        <v>Aus</v>
      </c>
      <c r="D28" s="821" t="n">
        <f aca="false">MUNDIAL!K32</f>
        <v>1</v>
      </c>
      <c r="E28" s="821" t="n">
        <f aca="false">MUNDIAL!L32</f>
        <v>0</v>
      </c>
      <c r="F28" s="822" t="str">
        <f aca="false">MID(MUNDIAL!N32,1,3)</f>
        <v>Din</v>
      </c>
      <c r="G28" s="1" t="n">
        <v>4</v>
      </c>
      <c r="H28" s="823" t="str">
        <f aca="false">MID(MUNDIAL!R33,1,3)</f>
        <v>Din</v>
      </c>
      <c r="I28" s="824" t="n">
        <f aca="false">MUNDIAL!S33</f>
        <v>1</v>
      </c>
      <c r="J28" s="825" t="n">
        <f aca="false">MUNDIAL!T33</f>
        <v>3</v>
      </c>
      <c r="K28" s="825" t="n">
        <f aca="false">MUNDIAL!Z33</f>
        <v>-2</v>
      </c>
      <c r="L28" s="826" t="n">
        <f aca="false">MUNDIAL!X33</f>
        <v>1</v>
      </c>
      <c r="M28" s="1"/>
      <c r="N28" s="545"/>
      <c r="O28" s="545"/>
      <c r="P28" s="545"/>
      <c r="Q28" s="1"/>
      <c r="R28" s="546"/>
      <c r="S28" s="546"/>
      <c r="T28" s="546"/>
      <c r="U28" s="1"/>
      <c r="V28" s="547"/>
      <c r="W28" s="547"/>
      <c r="X28" s="547"/>
      <c r="Y28" s="1"/>
      <c r="Z28" s="548"/>
      <c r="AA28" s="548"/>
      <c r="AB28" s="548"/>
      <c r="AC28" s="1"/>
      <c r="AD28" s="547"/>
      <c r="AE28" s="547"/>
      <c r="AF28" s="547"/>
      <c r="AG28" s="1"/>
      <c r="AH28" s="546"/>
      <c r="AI28" s="546"/>
      <c r="AJ28" s="546"/>
      <c r="AK28" s="1"/>
      <c r="AL28" s="545"/>
      <c r="AM28" s="545"/>
      <c r="AN28" s="545"/>
      <c r="AO28" s="1"/>
      <c r="AP28" s="842"/>
      <c r="AQ28" s="830" t="str">
        <f aca="false">MID(MUNDIAL!I64,1,3)</f>
        <v>Gha</v>
      </c>
      <c r="AR28" s="831" t="n">
        <f aca="false">MUNDIAL!K64</f>
        <v>0</v>
      </c>
      <c r="AS28" s="831" t="n">
        <f aca="false">MUNDIAL!L64</f>
        <v>2</v>
      </c>
      <c r="AT28" s="832" t="str">
        <f aca="false">MID(MUNDIAL!N64,1,3)</f>
        <v>Uru</v>
      </c>
      <c r="AU28" s="833" t="n">
        <v>4</v>
      </c>
      <c r="AV28" s="834" t="str">
        <f aca="false">MID(MUNDIAL!R65,1,3)</f>
        <v>Gha</v>
      </c>
      <c r="AW28" s="835" t="n">
        <f aca="false">MUNDIAL!S65</f>
        <v>3</v>
      </c>
      <c r="AX28" s="836" t="n">
        <f aca="false">MUNDIAL!T65</f>
        <v>3</v>
      </c>
      <c r="AY28" s="836" t="n">
        <f aca="false">MUNDIAL!Z65</f>
        <v>-2</v>
      </c>
      <c r="AZ28" s="837" t="n">
        <f aca="false">MUNDIAL!X65</f>
        <v>5</v>
      </c>
      <c r="BA28" s="1"/>
    </row>
    <row r="29" customFormat="false" ht="15.75" hidden="false" customHeight="false" outlineLevel="0" collapsed="false">
      <c r="A29" s="1"/>
      <c r="B29" s="843"/>
      <c r="C29" s="844" t="str">
        <f aca="false">MID(MUNDIAL!I33,1,3)</f>
        <v>Tún</v>
      </c>
      <c r="D29" s="845" t="n">
        <f aca="false">MUNDIAL!K33</f>
        <v>1</v>
      </c>
      <c r="E29" s="845" t="n">
        <f aca="false">MUNDIAL!L33</f>
        <v>0</v>
      </c>
      <c r="F29" s="846" t="str">
        <f aca="false">MID(MUNDIAL!N33,1,3)</f>
        <v>Fra</v>
      </c>
      <c r="G29" s="847"/>
      <c r="H29" s="848"/>
      <c r="I29" s="848"/>
      <c r="J29" s="848"/>
      <c r="K29" s="848"/>
      <c r="L29" s="849"/>
      <c r="M29" s="1"/>
      <c r="N29" s="545"/>
      <c r="O29" s="545"/>
      <c r="P29" s="545"/>
      <c r="Q29" s="1"/>
      <c r="R29" s="546"/>
      <c r="S29" s="546"/>
      <c r="T29" s="546"/>
      <c r="U29" s="1"/>
      <c r="V29" s="547"/>
      <c r="W29" s="547"/>
      <c r="X29" s="547"/>
      <c r="Y29" s="1"/>
      <c r="Z29" s="548"/>
      <c r="AA29" s="548"/>
      <c r="AB29" s="548"/>
      <c r="AC29" s="1"/>
      <c r="AD29" s="547"/>
      <c r="AE29" s="547"/>
      <c r="AF29" s="547"/>
      <c r="AG29" s="1"/>
      <c r="AH29" s="546"/>
      <c r="AI29" s="546"/>
      <c r="AJ29" s="546"/>
      <c r="AK29" s="1"/>
      <c r="AL29" s="545"/>
      <c r="AM29" s="545"/>
      <c r="AN29" s="545"/>
      <c r="AO29" s="1"/>
      <c r="AP29" s="850"/>
      <c r="AQ29" s="851" t="str">
        <f aca="false">MID(MUNDIAL!I65,1,3)</f>
        <v>Cor</v>
      </c>
      <c r="AR29" s="852" t="n">
        <f aca="false">MUNDIAL!K65</f>
        <v>2</v>
      </c>
      <c r="AS29" s="852" t="n">
        <f aca="false">MUNDIAL!L65</f>
        <v>1</v>
      </c>
      <c r="AT29" s="853" t="str">
        <f aca="false">MID(MUNDIAL!N65,1,3)</f>
        <v>Por</v>
      </c>
      <c r="AU29" s="854"/>
      <c r="AV29" s="855"/>
      <c r="AW29" s="855"/>
      <c r="AX29" s="855"/>
      <c r="AY29" s="855"/>
      <c r="AZ29" s="856"/>
      <c r="BA29" s="1"/>
    </row>
    <row r="30" customFormat="false" ht="15" hidden="false" customHeight="false" outlineLevel="0" collapsed="false">
      <c r="A30" s="1"/>
      <c r="B30" s="1"/>
      <c r="C30" s="62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customFormat="false" ht="15"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customFormat="false" ht="1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customFormat="false" ht="15"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customFormat="false" ht="15"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customFormat="false" ht="15" hidden="false" customHeight="false" outlineLevel="0" collapsed="false">
      <c r="Z35" s="1"/>
      <c r="AA35" s="1"/>
      <c r="AB35" s="1"/>
      <c r="AC35" s="1"/>
      <c r="AD35" s="1"/>
      <c r="AE35" s="1"/>
      <c r="AF35" s="1"/>
      <c r="AG35" s="1"/>
      <c r="AH35" s="1"/>
      <c r="AI35" s="1"/>
      <c r="AJ35" s="1"/>
      <c r="AK35" s="1"/>
      <c r="AL35" s="1"/>
      <c r="AM35" s="1"/>
      <c r="AN35" s="1"/>
    </row>
    <row r="36" customFormat="false" ht="15" hidden="false" customHeight="false" outlineLevel="0" collapsed="false">
      <c r="Z36" s="1"/>
      <c r="AA36" s="1"/>
      <c r="AB36" s="1"/>
      <c r="AC36" s="1"/>
      <c r="AD36" s="1"/>
      <c r="AE36" s="1"/>
      <c r="AF36" s="1"/>
      <c r="AG36" s="1"/>
      <c r="AH36" s="1"/>
      <c r="AI36" s="1"/>
      <c r="AJ36" s="1"/>
      <c r="AK36" s="1"/>
      <c r="AL36" s="1"/>
      <c r="AM36" s="1"/>
      <c r="AN36" s="1"/>
    </row>
    <row r="37" customFormat="false" ht="15" hidden="false" customHeight="false" outlineLevel="0" collapsed="false">
      <c r="Z37" s="1"/>
      <c r="AA37" s="1"/>
      <c r="AB37" s="1"/>
      <c r="AC37" s="1"/>
      <c r="AD37" s="1"/>
      <c r="AE37" s="1"/>
      <c r="AF37" s="1"/>
      <c r="AG37" s="1"/>
      <c r="AH37" s="1"/>
      <c r="AI37" s="1"/>
      <c r="AJ37" s="1"/>
      <c r="AK37" s="1"/>
      <c r="AL37" s="1"/>
      <c r="AM37" s="1"/>
      <c r="AN37" s="1"/>
    </row>
    <row r="38" customFormat="false" ht="15" hidden="false" customHeight="false" outlineLevel="0" collapsed="false">
      <c r="Z38" s="1"/>
      <c r="AA38" s="1"/>
      <c r="AB38" s="1"/>
      <c r="AC38" s="1"/>
      <c r="AD38" s="1"/>
      <c r="AE38" s="1"/>
      <c r="AF38" s="1"/>
      <c r="AG38" s="1"/>
      <c r="AH38" s="1"/>
      <c r="AI38" s="1"/>
      <c r="AJ38" s="1"/>
      <c r="AK38" s="1"/>
      <c r="AL38" s="1"/>
      <c r="AM38" s="1"/>
      <c r="AN38" s="1"/>
    </row>
    <row r="39" customFormat="false" ht="15" hidden="false" customHeight="false" outlineLevel="0" collapsed="false">
      <c r="Z39" s="1"/>
      <c r="AA39" s="1"/>
      <c r="AB39" s="1"/>
      <c r="AC39" s="1"/>
      <c r="AD39" s="1"/>
      <c r="AE39" s="1"/>
      <c r="AF39" s="1"/>
      <c r="AG39" s="1"/>
      <c r="AH39" s="1"/>
      <c r="AI39" s="1"/>
      <c r="AJ39" s="1"/>
      <c r="AK39" s="1"/>
      <c r="AL39" s="1"/>
      <c r="AM39" s="1"/>
      <c r="AN39" s="1"/>
    </row>
    <row r="40" customFormat="false" ht="15" hidden="false" customHeight="false" outlineLevel="0" collapsed="false">
      <c r="Z40" s="1"/>
      <c r="AA40" s="1"/>
      <c r="AB40" s="1"/>
      <c r="AC40" s="1"/>
      <c r="AD40" s="1"/>
      <c r="AE40" s="1"/>
      <c r="AF40" s="1"/>
      <c r="AG40" s="1"/>
      <c r="AH40" s="1"/>
      <c r="AI40" s="1"/>
      <c r="AJ40" s="1"/>
      <c r="AK40" s="1"/>
      <c r="AL40" s="1"/>
      <c r="AM40" s="1"/>
      <c r="AN40" s="1"/>
    </row>
    <row r="41" customFormat="false" ht="15" hidden="false" customHeight="false" outlineLevel="0" collapsed="false">
      <c r="Z41" s="1"/>
      <c r="AA41" s="1"/>
      <c r="AB41" s="1"/>
      <c r="AC41" s="1"/>
      <c r="AD41" s="1"/>
      <c r="AE41" s="1"/>
      <c r="AF41" s="1"/>
      <c r="AG41" s="1"/>
      <c r="AH41" s="1"/>
      <c r="AI41" s="1"/>
      <c r="AJ41" s="1"/>
      <c r="AK41" s="1"/>
      <c r="AL41" s="1"/>
      <c r="AM41" s="1"/>
      <c r="AN41" s="1"/>
    </row>
    <row r="42" customFormat="false" ht="15" hidden="false" customHeight="false" outlineLevel="0" collapsed="false">
      <c r="Z42" s="1"/>
      <c r="AA42" s="1"/>
      <c r="AB42" s="1"/>
      <c r="AC42" s="1"/>
      <c r="AD42" s="1"/>
      <c r="AE42" s="1"/>
      <c r="AF42" s="1"/>
      <c r="AG42" s="1"/>
      <c r="AH42" s="1"/>
      <c r="AI42" s="1"/>
      <c r="AJ42" s="1"/>
      <c r="AK42" s="1"/>
      <c r="AL42" s="1"/>
      <c r="AM42" s="1"/>
      <c r="AN42" s="1"/>
    </row>
    <row r="43" customFormat="false" ht="15" hidden="false" customHeight="false" outlineLevel="0" collapsed="false">
      <c r="Z43" s="1"/>
      <c r="AA43" s="1"/>
      <c r="AB43" s="1"/>
      <c r="AC43" s="1"/>
      <c r="AD43" s="1"/>
      <c r="AE43" s="1"/>
      <c r="AF43" s="1"/>
      <c r="AG43" s="1"/>
      <c r="AH43" s="1"/>
      <c r="AI43" s="1"/>
      <c r="AJ43" s="1"/>
      <c r="AK43" s="1"/>
      <c r="AL43" s="1"/>
      <c r="AM43" s="1"/>
      <c r="AN43" s="1"/>
    </row>
    <row r="44" customFormat="false" ht="15" hidden="false" customHeight="false" outlineLevel="0" collapsed="false">
      <c r="Z44" s="1"/>
      <c r="AA44" s="1"/>
      <c r="AB44" s="1"/>
      <c r="AC44" s="1"/>
      <c r="AD44" s="1"/>
      <c r="AE44" s="1"/>
      <c r="AF44" s="1"/>
      <c r="AG44" s="1"/>
      <c r="AH44" s="1"/>
      <c r="AI44" s="1"/>
      <c r="AJ44" s="1"/>
      <c r="AK44" s="1"/>
      <c r="AL44" s="1"/>
      <c r="AM44" s="1"/>
      <c r="AN44" s="1"/>
    </row>
    <row r="45" customFormat="false" ht="15" hidden="false" customHeight="false" outlineLevel="0" collapsed="false">
      <c r="Z45" s="1"/>
      <c r="AA45" s="1"/>
      <c r="AB45" s="1"/>
      <c r="AC45" s="1"/>
      <c r="AD45" s="1"/>
      <c r="AE45" s="1"/>
      <c r="AF45" s="1"/>
      <c r="AG45" s="1"/>
      <c r="AH45" s="1"/>
      <c r="AI45" s="1"/>
      <c r="AJ45" s="1"/>
      <c r="AK45" s="1"/>
      <c r="AL45" s="1"/>
      <c r="AM45" s="1"/>
      <c r="AN45" s="1"/>
    </row>
    <row r="46" customFormat="false" ht="15" hidden="false" customHeight="false" outlineLevel="0" collapsed="false">
      <c r="Z46" s="1"/>
      <c r="AA46" s="1"/>
      <c r="AB46" s="1"/>
      <c r="AC46" s="1"/>
      <c r="AD46" s="1"/>
      <c r="AE46" s="1"/>
      <c r="AF46" s="1"/>
      <c r="AG46" s="1"/>
      <c r="AH46" s="1"/>
      <c r="AI46" s="1"/>
      <c r="AJ46" s="1"/>
      <c r="AK46" s="1"/>
      <c r="AL46" s="1"/>
      <c r="AM46" s="1"/>
      <c r="AN46" s="1"/>
    </row>
    <row r="47" customFormat="false" ht="15" hidden="false" customHeight="false" outlineLevel="0" collapsed="false">
      <c r="Z47" s="1"/>
      <c r="AA47" s="1"/>
      <c r="AB47" s="1"/>
      <c r="AC47" s="1"/>
      <c r="AD47" s="1"/>
      <c r="AE47" s="1"/>
      <c r="AF47" s="1"/>
      <c r="AG47" s="1"/>
      <c r="AH47" s="1"/>
      <c r="AI47" s="1"/>
      <c r="AJ47" s="1"/>
      <c r="AK47" s="1"/>
      <c r="AL47" s="1"/>
      <c r="AM47" s="1"/>
      <c r="AN47" s="1"/>
    </row>
    <row r="48" customFormat="false" ht="15" hidden="false" customHeight="false" outlineLevel="0" collapsed="false">
      <c r="Z48" s="1"/>
      <c r="AA48" s="1"/>
      <c r="AB48" s="1"/>
      <c r="AC48" s="1"/>
      <c r="AD48" s="1"/>
      <c r="AE48" s="1"/>
      <c r="AF48" s="1"/>
      <c r="AG48" s="1"/>
      <c r="AH48" s="1"/>
      <c r="AI48" s="1"/>
      <c r="AJ48" s="1"/>
      <c r="AK48" s="1"/>
      <c r="AL48" s="1"/>
      <c r="AM48" s="1"/>
      <c r="AN48" s="1"/>
    </row>
    <row r="49" customFormat="false" ht="15" hidden="false" customHeight="false" outlineLevel="0" collapsed="false">
      <c r="Z49" s="1"/>
      <c r="AA49" s="1"/>
      <c r="AB49" s="1"/>
      <c r="AC49" s="1"/>
      <c r="AD49" s="1"/>
      <c r="AE49" s="1"/>
      <c r="AF49" s="1"/>
      <c r="AG49" s="1"/>
      <c r="AH49" s="1"/>
      <c r="AI49" s="1"/>
      <c r="AJ49" s="1"/>
      <c r="AK49" s="1"/>
      <c r="AL49" s="1"/>
      <c r="AM49" s="1"/>
      <c r="AN49" s="1"/>
    </row>
    <row r="50" customFormat="false" ht="15" hidden="false" customHeight="false" outlineLevel="0" collapsed="false">
      <c r="Z50" s="1"/>
      <c r="AA50" s="1"/>
      <c r="AB50" s="1"/>
      <c r="AC50" s="1"/>
      <c r="AD50" s="1"/>
      <c r="AE50" s="1"/>
      <c r="AF50" s="1"/>
      <c r="AG50" s="1"/>
      <c r="AH50" s="1"/>
      <c r="AI50" s="1"/>
      <c r="AJ50" s="1"/>
      <c r="AK50" s="1"/>
      <c r="AL50" s="1"/>
      <c r="AM50" s="1"/>
      <c r="AN50" s="1"/>
    </row>
    <row r="51" customFormat="false" ht="15" hidden="false" customHeight="false" outlineLevel="0" collapsed="false">
      <c r="Z51" s="1"/>
      <c r="AA51" s="1"/>
      <c r="AB51" s="1"/>
      <c r="AC51" s="1"/>
      <c r="AD51" s="1"/>
      <c r="AE51" s="1"/>
      <c r="AF51" s="1"/>
      <c r="AG51" s="1"/>
      <c r="AH51" s="1"/>
      <c r="AI51" s="1"/>
      <c r="AJ51" s="1"/>
      <c r="AK51" s="1"/>
      <c r="AL51" s="1"/>
      <c r="AM51" s="1"/>
      <c r="AN51" s="1"/>
    </row>
    <row r="52" customFormat="false" ht="15" hidden="false" customHeight="false" outlineLevel="0" collapsed="false">
      <c r="Z52" s="1"/>
      <c r="AA52" s="1"/>
      <c r="AB52" s="1"/>
      <c r="AC52" s="1"/>
      <c r="AD52" s="1"/>
      <c r="AE52" s="1"/>
      <c r="AF52" s="1"/>
      <c r="AG52" s="1"/>
      <c r="AH52" s="1"/>
      <c r="AI52" s="1"/>
      <c r="AJ52" s="1"/>
      <c r="AK52" s="1"/>
      <c r="AL52" s="1"/>
      <c r="AM52" s="1"/>
      <c r="AN52" s="1"/>
    </row>
    <row r="53" customFormat="false" ht="15" hidden="false" customHeight="false" outlineLevel="0" collapsed="false">
      <c r="Z53" s="1"/>
      <c r="AA53" s="1"/>
      <c r="AB53" s="1"/>
      <c r="AC53" s="1"/>
      <c r="AD53" s="1"/>
      <c r="AE53" s="1"/>
      <c r="AF53" s="1"/>
      <c r="AG53" s="1"/>
      <c r="AH53" s="1"/>
      <c r="AI53" s="1"/>
      <c r="AJ53" s="1"/>
      <c r="AK53" s="1"/>
      <c r="AL53" s="1"/>
      <c r="AM53" s="1"/>
      <c r="AN53" s="1"/>
    </row>
    <row r="54" customFormat="false" ht="15" hidden="false" customHeight="false" outlineLevel="0" collapsed="false">
      <c r="Z54" s="1"/>
      <c r="AA54" s="1"/>
      <c r="AB54" s="1"/>
      <c r="AC54" s="1"/>
      <c r="AD54" s="1"/>
      <c r="AE54" s="1"/>
      <c r="AF54" s="1"/>
      <c r="AG54" s="1"/>
      <c r="AH54" s="1"/>
      <c r="AI54" s="1"/>
      <c r="AJ54" s="1"/>
      <c r="AK54" s="1"/>
      <c r="AL54" s="1"/>
      <c r="AM54" s="1"/>
      <c r="AN54" s="1"/>
    </row>
    <row r="55" customFormat="false" ht="15" hidden="false" customHeight="false" outlineLevel="0" collapsed="false">
      <c r="Z55" s="1"/>
      <c r="AA55" s="1"/>
      <c r="AB55" s="1"/>
      <c r="AC55" s="1"/>
      <c r="AD55" s="1"/>
      <c r="AE55" s="1"/>
      <c r="AF55" s="1"/>
      <c r="AG55" s="1"/>
      <c r="AH55" s="1"/>
      <c r="AI55" s="1"/>
      <c r="AJ55" s="1"/>
      <c r="AK55" s="1"/>
      <c r="AL55" s="1"/>
      <c r="AM55" s="1"/>
      <c r="AN55" s="1"/>
    </row>
    <row r="56" customFormat="false" ht="15" hidden="false" customHeight="false" outlineLevel="0" collapsed="false">
      <c r="Z56" s="1"/>
      <c r="AA56" s="1"/>
      <c r="AB56" s="1"/>
      <c r="AC56" s="1"/>
      <c r="AD56" s="1"/>
      <c r="AE56" s="1"/>
      <c r="AF56" s="1"/>
      <c r="AG56" s="1"/>
      <c r="AH56" s="1"/>
      <c r="AI56" s="1"/>
      <c r="AJ56" s="1"/>
      <c r="AK56" s="1"/>
      <c r="AL56" s="1"/>
      <c r="AM56" s="1"/>
      <c r="AN56" s="1"/>
    </row>
    <row r="57" customFormat="false" ht="15" hidden="false" customHeight="false" outlineLevel="0" collapsed="false">
      <c r="Z57" s="1"/>
      <c r="AA57" s="1"/>
      <c r="AB57" s="1"/>
      <c r="AC57" s="1"/>
      <c r="AD57" s="1"/>
      <c r="AE57" s="1"/>
      <c r="AF57" s="1"/>
      <c r="AG57" s="1"/>
      <c r="AH57" s="1"/>
      <c r="AI57" s="1"/>
      <c r="AJ57" s="1"/>
      <c r="AK57" s="1"/>
      <c r="AL57" s="1"/>
      <c r="AM57" s="1"/>
      <c r="AN57" s="1"/>
    </row>
    <row r="58" customFormat="false" ht="15" hidden="false" customHeight="false" outlineLevel="0" collapsed="false">
      <c r="Z58" s="1"/>
      <c r="AA58" s="1"/>
      <c r="AB58" s="1"/>
      <c r="AC58" s="1"/>
      <c r="AD58" s="1"/>
      <c r="AE58" s="1"/>
      <c r="AF58" s="1"/>
      <c r="AG58" s="1"/>
      <c r="AH58" s="1"/>
      <c r="AI58" s="1"/>
      <c r="AJ58" s="1"/>
      <c r="AK58" s="1"/>
      <c r="AL58" s="1"/>
      <c r="AM58" s="1"/>
      <c r="AN58" s="1"/>
    </row>
    <row r="59" customFormat="false" ht="15" hidden="false" customHeight="false" outlineLevel="0" collapsed="false">
      <c r="Z59" s="1"/>
      <c r="AA59" s="1"/>
      <c r="AB59" s="1"/>
      <c r="AC59" s="1"/>
      <c r="AD59" s="1"/>
      <c r="AE59" s="1"/>
      <c r="AF59" s="1"/>
      <c r="AG59" s="1"/>
      <c r="AH59" s="1"/>
      <c r="AI59" s="1"/>
      <c r="AJ59" s="1"/>
      <c r="AK59" s="1"/>
      <c r="AL59" s="1"/>
      <c r="AM59" s="1"/>
      <c r="AN59" s="1"/>
    </row>
    <row r="60" customFormat="false" ht="15" hidden="false" customHeight="false" outlineLevel="0" collapsed="false">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true" objects="true" scenarios="true" selectLockedCells="true" selectUnlockedCells="true"/>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2:Q93"/>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0.72265625" defaultRowHeight="15" zeroHeight="false" outlineLevelRow="0" outlineLevelCol="0"/>
  <cols>
    <col collapsed="false" customWidth="true" hidden="false" outlineLevel="0" max="1" min="1" style="857" width="13.14"/>
    <col collapsed="false" customWidth="false" hidden="false" outlineLevel="0" max="2" min="2" style="857" width="10.71"/>
    <col collapsed="false" customWidth="true" hidden="false" outlineLevel="0" max="3" min="3" style="857" width="17.14"/>
    <col collapsed="false" customWidth="false" hidden="false" outlineLevel="0" max="1025" min="4" style="857" width="10.71"/>
  </cols>
  <sheetData>
    <row r="2" customFormat="false" ht="15" hidden="false" customHeight="false" outlineLevel="0" collapsed="false">
      <c r="F2" s="857" t="s">
        <v>210</v>
      </c>
    </row>
    <row r="3" customFormat="false" ht="15" hidden="false" customHeight="false" outlineLevel="0" collapsed="false">
      <c r="A3" s="858" t="s">
        <v>211</v>
      </c>
      <c r="C3" s="857" t="n">
        <f aca="false">IFERROR(VLOOKUP(MUNDIAL!G1,L4:M60,2,0),10)</f>
        <v>9</v>
      </c>
      <c r="F3" s="857" t="s">
        <v>212</v>
      </c>
      <c r="G3" s="857" t="s">
        <v>213</v>
      </c>
      <c r="H3" s="857" t="s">
        <v>214</v>
      </c>
      <c r="J3" s="858"/>
      <c r="K3" s="858"/>
      <c r="L3" s="858" t="n">
        <v>1</v>
      </c>
      <c r="M3" s="858"/>
      <c r="N3" s="858"/>
      <c r="O3" s="858"/>
    </row>
    <row r="4" customFormat="false" ht="15" hidden="false" customHeight="false" outlineLevel="0" collapsed="false">
      <c r="A4" s="859" t="n">
        <v>44886.7916666667</v>
      </c>
      <c r="C4" s="860" t="n">
        <f aca="false">A4+VLOOKUP($C$3,$K$4:$O$60,4,0)*VLOOKUP($C$3,$K$4:$O$60,5,0)</f>
        <v>44886.7916666667</v>
      </c>
      <c r="E4" s="857" t="n">
        <v>1</v>
      </c>
      <c r="F4" s="857" t="s">
        <v>6</v>
      </c>
      <c r="G4" s="857" t="n">
        <v>3</v>
      </c>
      <c r="H4" s="857" t="n">
        <v>0</v>
      </c>
      <c r="J4" s="858" t="s">
        <v>215</v>
      </c>
      <c r="K4" s="858" t="n">
        <v>1</v>
      </c>
      <c r="L4" s="857" t="s">
        <v>216</v>
      </c>
      <c r="M4" s="858" t="n">
        <v>1</v>
      </c>
      <c r="N4" s="861" t="n">
        <v>0.0833333333333333</v>
      </c>
      <c r="O4" s="857" t="n">
        <v>-1</v>
      </c>
    </row>
    <row r="5" customFormat="false" ht="15" hidden="false" customHeight="false" outlineLevel="0" collapsed="false">
      <c r="A5" s="859" t="n">
        <v>44885.7916666667</v>
      </c>
      <c r="C5" s="860" t="n">
        <f aca="false">A5+VLOOKUP($C$3,$K$4:$O$60,4,0)*VLOOKUP($C$3,$K$4:$O$60,5,0)</f>
        <v>44885.7916666667</v>
      </c>
      <c r="E5" s="857" t="n">
        <v>1</v>
      </c>
      <c r="F5" s="857" t="s">
        <v>217</v>
      </c>
      <c r="G5" s="857" t="n">
        <v>1</v>
      </c>
      <c r="H5" s="857" t="n">
        <f aca="false">G5-$G$4</f>
        <v>-2</v>
      </c>
      <c r="J5" s="858"/>
      <c r="K5" s="858" t="n">
        <v>2</v>
      </c>
      <c r="L5" s="857" t="s">
        <v>218</v>
      </c>
      <c r="M5" s="858" t="n">
        <v>2</v>
      </c>
      <c r="N5" s="861" t="n">
        <v>0</v>
      </c>
      <c r="O5" s="857" t="n">
        <v>0</v>
      </c>
    </row>
    <row r="6" customFormat="false" ht="15" hidden="false" customHeight="false" outlineLevel="0" collapsed="false">
      <c r="A6" s="859" t="n">
        <v>44890.6666666667</v>
      </c>
      <c r="C6" s="860" t="n">
        <f aca="false">A6+VLOOKUP($C$3,$K$4:$O$60,4,0)*VLOOKUP($C$3,$K$4:$O$60,5,0)</f>
        <v>44890.6666666667</v>
      </c>
      <c r="E6" s="857" t="n">
        <v>1</v>
      </c>
      <c r="F6" s="857" t="s">
        <v>219</v>
      </c>
      <c r="G6" s="857" t="n">
        <v>-3</v>
      </c>
      <c r="H6" s="857" t="n">
        <f aca="false">G6-$G$4</f>
        <v>-6</v>
      </c>
      <c r="J6" s="858"/>
      <c r="K6" s="858" t="n">
        <v>3</v>
      </c>
      <c r="L6" s="857" t="s">
        <v>219</v>
      </c>
      <c r="M6" s="858" t="n">
        <v>3</v>
      </c>
      <c r="N6" s="861" t="n">
        <v>0.25</v>
      </c>
      <c r="O6" s="857" t="n">
        <v>-1</v>
      </c>
    </row>
    <row r="7" customFormat="false" ht="15" hidden="false" customHeight="false" outlineLevel="0" collapsed="false">
      <c r="A7" s="859" t="n">
        <v>44890.7916666667</v>
      </c>
      <c r="C7" s="860" t="n">
        <f aca="false">A7+VLOOKUP($C$3,$K$4:$O$60,4,0)*VLOOKUP($C$3,$K$4:$O$60,5,0)</f>
        <v>44890.7916666667</v>
      </c>
      <c r="E7" s="857" t="n">
        <v>1</v>
      </c>
      <c r="F7" s="857" t="s">
        <v>220</v>
      </c>
      <c r="G7" s="857" t="n">
        <v>-3</v>
      </c>
      <c r="H7" s="857" t="n">
        <f aca="false">G7-$G$4</f>
        <v>-6</v>
      </c>
      <c r="J7" s="858"/>
      <c r="K7" s="858" t="n">
        <v>4</v>
      </c>
      <c r="L7" s="857" t="s">
        <v>221</v>
      </c>
      <c r="M7" s="858" t="n">
        <v>4</v>
      </c>
      <c r="N7" s="861" t="n">
        <v>0.291666666666667</v>
      </c>
      <c r="O7" s="857" t="n">
        <v>1</v>
      </c>
    </row>
    <row r="8" customFormat="false" ht="15" hidden="false" customHeight="false" outlineLevel="0" collapsed="false">
      <c r="A8" s="859" t="n">
        <v>44894.75</v>
      </c>
      <c r="C8" s="860" t="n">
        <f aca="false">A8+VLOOKUP($C$3,$K$4:$O$60,4,0)*VLOOKUP($C$3,$K$4:$O$60,5,0)</f>
        <v>44894.75</v>
      </c>
      <c r="E8" s="857" t="n">
        <v>2</v>
      </c>
      <c r="F8" s="857" t="s">
        <v>216</v>
      </c>
      <c r="G8" s="857" t="n">
        <v>1</v>
      </c>
      <c r="H8" s="857" t="n">
        <f aca="false">G8-$G$4</f>
        <v>-2</v>
      </c>
      <c r="J8" s="858"/>
      <c r="K8" s="858" t="n">
        <v>5</v>
      </c>
      <c r="L8" s="857" t="s">
        <v>222</v>
      </c>
      <c r="M8" s="858" t="n">
        <v>5</v>
      </c>
      <c r="N8" s="861" t="n">
        <v>0.0833333333333333</v>
      </c>
      <c r="O8" s="857" t="n">
        <v>-1</v>
      </c>
    </row>
    <row r="9" customFormat="false" ht="15" hidden="false" customHeight="false" outlineLevel="0" collapsed="false">
      <c r="A9" s="859" t="n">
        <v>44894.75</v>
      </c>
      <c r="C9" s="860" t="n">
        <f aca="false">A9+VLOOKUP($C$3,$K$4:$O$60,4,0)*VLOOKUP($C$3,$K$4:$O$60,5,0)</f>
        <v>44894.75</v>
      </c>
      <c r="E9" s="857" t="n">
        <v>1</v>
      </c>
      <c r="F9" s="857" t="s">
        <v>223</v>
      </c>
      <c r="G9" s="857" t="n">
        <v>1</v>
      </c>
      <c r="H9" s="857" t="n">
        <f aca="false">G9-$G$4</f>
        <v>-2</v>
      </c>
      <c r="J9" s="858"/>
      <c r="K9" s="858" t="n">
        <v>6</v>
      </c>
      <c r="L9" s="857" t="s">
        <v>220</v>
      </c>
      <c r="M9" s="858" t="n">
        <v>6</v>
      </c>
      <c r="N9" s="861" t="n">
        <v>0.25</v>
      </c>
      <c r="O9" s="857" t="n">
        <v>-1</v>
      </c>
    </row>
    <row r="10" customFormat="false" ht="15" hidden="false" customHeight="false" outlineLevel="0" collapsed="false">
      <c r="E10" s="857" t="n">
        <v>1</v>
      </c>
      <c r="F10" s="857" t="s">
        <v>224</v>
      </c>
      <c r="G10" s="857" t="n">
        <v>0</v>
      </c>
      <c r="H10" s="857" t="n">
        <f aca="false">G10-$G$4</f>
        <v>-3</v>
      </c>
      <c r="J10" s="858"/>
      <c r="K10" s="858" t="n">
        <v>7</v>
      </c>
      <c r="L10" s="857" t="s">
        <v>225</v>
      </c>
      <c r="M10" s="858" t="n">
        <v>7</v>
      </c>
      <c r="N10" s="861" t="n">
        <v>0.0833333333333333</v>
      </c>
      <c r="O10" s="857" t="n">
        <v>-1</v>
      </c>
    </row>
    <row r="11" customFormat="false" ht="15" hidden="false" customHeight="false" outlineLevel="0" collapsed="false">
      <c r="A11" s="862" t="s">
        <v>226</v>
      </c>
      <c r="E11" s="857" t="n">
        <v>2</v>
      </c>
      <c r="F11" s="857" t="s">
        <v>227</v>
      </c>
      <c r="G11" s="857" t="n">
        <v>1</v>
      </c>
      <c r="H11" s="857" t="n">
        <f aca="false">G11-$G$4</f>
        <v>-2</v>
      </c>
      <c r="J11" s="858"/>
      <c r="K11" s="858" t="n">
        <v>8</v>
      </c>
      <c r="L11" s="857" t="s">
        <v>228</v>
      </c>
      <c r="M11" s="858" t="n">
        <v>8</v>
      </c>
      <c r="N11" s="861" t="n">
        <v>0.333333333333333</v>
      </c>
      <c r="O11" s="857" t="n">
        <v>-1</v>
      </c>
    </row>
    <row r="12" customFormat="false" ht="15" hidden="false" customHeight="false" outlineLevel="0" collapsed="false">
      <c r="A12" s="859" t="n">
        <v>44886.6666666667</v>
      </c>
      <c r="C12" s="860" t="n">
        <f aca="false">A12+VLOOKUP($C$3,$K$4:$O$60,4,0)*VLOOKUP($C$3,$K$4:$O$60,5,0)</f>
        <v>44886.6666666667</v>
      </c>
      <c r="E12" s="857" t="n">
        <v>3</v>
      </c>
      <c r="F12" s="857" t="s">
        <v>229</v>
      </c>
      <c r="G12" s="857" t="n">
        <v>3.5</v>
      </c>
      <c r="H12" s="857" t="n">
        <f aca="false">G12-$G$4</f>
        <v>0.5</v>
      </c>
      <c r="I12" s="857" t="s">
        <v>230</v>
      </c>
      <c r="J12" s="858"/>
      <c r="K12" s="858" t="n">
        <v>9</v>
      </c>
      <c r="L12" s="857" t="s">
        <v>6</v>
      </c>
      <c r="M12" s="858" t="n">
        <v>9</v>
      </c>
      <c r="N12" s="861" t="n">
        <v>0</v>
      </c>
      <c r="O12" s="857" t="n">
        <v>0</v>
      </c>
    </row>
    <row r="13" customFormat="false" ht="15" hidden="false" customHeight="false" outlineLevel="0" collapsed="false">
      <c r="A13" s="859" t="n">
        <v>44886.9166666667</v>
      </c>
      <c r="C13" s="860" t="n">
        <f aca="false">A13+VLOOKUP($C$3,$K$4:$O$60,4,0)*VLOOKUP($C$3,$K$4:$O$60,5,0)</f>
        <v>44886.9166666667</v>
      </c>
      <c r="E13" s="857" t="n">
        <v>3</v>
      </c>
      <c r="F13" s="857" t="s">
        <v>231</v>
      </c>
      <c r="G13" s="857" t="n">
        <v>9</v>
      </c>
      <c r="H13" s="857" t="n">
        <f aca="false">G13-$G$4</f>
        <v>6</v>
      </c>
      <c r="J13" s="863"/>
      <c r="K13" s="858" t="n">
        <v>10</v>
      </c>
      <c r="L13" s="857" t="s">
        <v>231</v>
      </c>
      <c r="M13" s="858" t="n">
        <v>10</v>
      </c>
      <c r="N13" s="861" t="n">
        <v>0.25</v>
      </c>
      <c r="O13" s="857" t="n">
        <v>1</v>
      </c>
    </row>
    <row r="14" customFormat="false" ht="15" hidden="false" customHeight="false" outlineLevel="0" collapsed="false">
      <c r="A14" s="859" t="n">
        <v>44890.5416666667</v>
      </c>
      <c r="C14" s="860" t="n">
        <f aca="false">A14+VLOOKUP($C$3,$K$4:$O$60,4,0)*VLOOKUP($C$3,$K$4:$O$60,5,0)</f>
        <v>44890.5416666667</v>
      </c>
      <c r="E14" s="857" t="n">
        <v>3</v>
      </c>
      <c r="F14" s="857" t="s">
        <v>232</v>
      </c>
      <c r="G14" s="857" t="n">
        <v>9</v>
      </c>
      <c r="H14" s="857" t="n">
        <f aca="false">G14-$G$4</f>
        <v>6</v>
      </c>
      <c r="J14" s="858"/>
      <c r="K14" s="858" t="n">
        <v>11</v>
      </c>
      <c r="L14" s="857" t="s">
        <v>233</v>
      </c>
      <c r="M14" s="858" t="n">
        <v>11</v>
      </c>
      <c r="N14" s="861" t="n">
        <v>0.375</v>
      </c>
      <c r="O14" s="857" t="n">
        <v>-1</v>
      </c>
    </row>
    <row r="15" customFormat="false" ht="15" hidden="false" customHeight="false" outlineLevel="0" collapsed="false">
      <c r="A15" s="859" t="n">
        <v>44890.9166666667</v>
      </c>
      <c r="C15" s="860" t="n">
        <f aca="false">A15+VLOOKUP($C$3,$K$4:$O$60,4,0)*VLOOKUP($C$3,$K$4:$O$60,5,0)</f>
        <v>44890.9166666667</v>
      </c>
      <c r="E15" s="857" t="n">
        <v>4</v>
      </c>
      <c r="F15" s="857" t="s">
        <v>218</v>
      </c>
      <c r="G15" s="857" t="n">
        <v>3</v>
      </c>
      <c r="H15" s="857" t="n">
        <f aca="false">G15-$G$4</f>
        <v>0</v>
      </c>
      <c r="J15" s="858"/>
      <c r="K15" s="858" t="n">
        <v>12</v>
      </c>
      <c r="L15" s="857" t="s">
        <v>234</v>
      </c>
      <c r="M15" s="858" t="n">
        <v>12</v>
      </c>
      <c r="N15" s="861" t="n">
        <v>0.0833333333333333</v>
      </c>
      <c r="O15" s="857" t="n">
        <v>-1</v>
      </c>
      <c r="Q15" s="864"/>
    </row>
    <row r="16" customFormat="false" ht="15" hidden="false" customHeight="false" outlineLevel="0" collapsed="false">
      <c r="A16" s="859" t="n">
        <v>44894.9166666667</v>
      </c>
      <c r="C16" s="860" t="n">
        <f aca="false">A16+VLOOKUP($C$3,$K$4:$O$60,4,0)*VLOOKUP($C$3,$K$4:$O$60,5,0)</f>
        <v>44894.9166666667</v>
      </c>
      <c r="E16" s="857" t="n">
        <v>1</v>
      </c>
      <c r="F16" s="857" t="s">
        <v>222</v>
      </c>
      <c r="G16" s="857" t="n">
        <v>1</v>
      </c>
      <c r="H16" s="857" t="n">
        <f aca="false">G16-$G$4</f>
        <v>-2</v>
      </c>
      <c r="K16" s="858" t="n">
        <v>13</v>
      </c>
      <c r="L16" s="857" t="s">
        <v>235</v>
      </c>
      <c r="M16" s="858" t="n">
        <v>13</v>
      </c>
      <c r="N16" s="861" t="n">
        <v>0.0833333333333333</v>
      </c>
      <c r="O16" s="857" t="n">
        <v>-1</v>
      </c>
    </row>
    <row r="17" customFormat="false" ht="15" hidden="false" customHeight="false" outlineLevel="0" collapsed="false">
      <c r="A17" s="859" t="n">
        <v>44894.9166666667</v>
      </c>
      <c r="C17" s="860" t="n">
        <f aca="false">A17+VLOOKUP($C$3,$K$4:$O$60,4,0)*VLOOKUP($C$3,$K$4:$O$60,5,0)</f>
        <v>44894.9166666667</v>
      </c>
      <c r="E17" s="857" t="n">
        <v>1</v>
      </c>
      <c r="F17" s="857" t="s">
        <v>236</v>
      </c>
      <c r="G17" s="857" t="n">
        <v>0</v>
      </c>
      <c r="H17" s="857" t="n">
        <f aca="false">G17-$G$4</f>
        <v>-3</v>
      </c>
      <c r="K17" s="858" t="n">
        <v>14</v>
      </c>
      <c r="L17" s="857" t="s">
        <v>237</v>
      </c>
      <c r="M17" s="858" t="n">
        <v>14</v>
      </c>
      <c r="N17" s="861" t="n">
        <v>0.333333333333333</v>
      </c>
      <c r="O17" s="857" t="n">
        <v>-1</v>
      </c>
      <c r="Q17" s="864"/>
    </row>
    <row r="18" customFormat="false" ht="15" hidden="false" customHeight="false" outlineLevel="0" collapsed="false">
      <c r="E18" s="857" t="n">
        <v>4</v>
      </c>
      <c r="F18" s="857" t="s">
        <v>237</v>
      </c>
      <c r="G18" s="857" t="n">
        <v>-5</v>
      </c>
      <c r="H18" s="857" t="n">
        <f aca="false">G18-$G$4</f>
        <v>-8</v>
      </c>
      <c r="K18" s="858" t="n">
        <v>15</v>
      </c>
      <c r="L18" s="857" t="s">
        <v>217</v>
      </c>
      <c r="M18" s="858" t="n">
        <v>15</v>
      </c>
      <c r="N18" s="861" t="n">
        <v>0.0833333333333333</v>
      </c>
      <c r="O18" s="857" t="n">
        <v>-1</v>
      </c>
    </row>
    <row r="19" customFormat="false" ht="15" hidden="false" customHeight="false" outlineLevel="0" collapsed="false">
      <c r="A19" s="865" t="s">
        <v>48</v>
      </c>
      <c r="E19" s="857" t="n">
        <v>2</v>
      </c>
      <c r="F19" s="857" t="s">
        <v>238</v>
      </c>
      <c r="G19" s="857" t="n">
        <v>-3</v>
      </c>
      <c r="H19" s="857" t="n">
        <f aca="false">G19-$G$4</f>
        <v>-6</v>
      </c>
      <c r="K19" s="858" t="n">
        <v>16</v>
      </c>
      <c r="L19" s="857" t="s">
        <v>239</v>
      </c>
      <c r="M19" s="858" t="n">
        <v>16</v>
      </c>
      <c r="N19" s="861" t="n">
        <v>0.333333333333333</v>
      </c>
      <c r="O19" s="857" t="n">
        <v>-1</v>
      </c>
      <c r="Q19" s="864"/>
    </row>
    <row r="20" customFormat="false" ht="15" hidden="false" customHeight="false" outlineLevel="0" collapsed="false">
      <c r="A20" s="859" t="n">
        <v>44887.5416666667</v>
      </c>
      <c r="C20" s="860" t="n">
        <f aca="false">A20+VLOOKUP($C$3,$K$4:$O$60,4,0)*VLOOKUP($C$3,$K$4:$O$60,5,0)</f>
        <v>44887.5416666667</v>
      </c>
      <c r="E20" s="857" t="n">
        <v>2</v>
      </c>
      <c r="F20" s="857" t="s">
        <v>240</v>
      </c>
      <c r="G20" s="857" t="n">
        <v>-6</v>
      </c>
      <c r="H20" s="857" t="n">
        <f aca="false">G20-$G$4</f>
        <v>-9</v>
      </c>
      <c r="K20" s="858" t="n">
        <v>17</v>
      </c>
      <c r="L20" s="857" t="s">
        <v>223</v>
      </c>
      <c r="M20" s="858" t="n">
        <v>17</v>
      </c>
      <c r="N20" s="861" t="n">
        <v>0.0833333333333333</v>
      </c>
      <c r="O20" s="857" t="n">
        <v>-1</v>
      </c>
    </row>
    <row r="21" customFormat="false" ht="15" hidden="false" customHeight="false" outlineLevel="0" collapsed="false">
      <c r="A21" s="859" t="n">
        <v>44887.7916666667</v>
      </c>
      <c r="C21" s="860" t="n">
        <f aca="false">A21+VLOOKUP($C$3,$K$4:$O$60,4,0)*VLOOKUP($C$3,$K$4:$O$60,5,0)</f>
        <v>44887.7916666667</v>
      </c>
      <c r="E21" s="857" t="n">
        <v>2</v>
      </c>
      <c r="F21" s="857" t="s">
        <v>239</v>
      </c>
      <c r="G21" s="857" t="n">
        <v>-5</v>
      </c>
      <c r="H21" s="857" t="n">
        <f aca="false">G21-$G$4</f>
        <v>-8</v>
      </c>
      <c r="I21" s="857" t="s">
        <v>241</v>
      </c>
      <c r="K21" s="858" t="n">
        <v>18</v>
      </c>
      <c r="L21" s="857" t="s">
        <v>242</v>
      </c>
      <c r="M21" s="858" t="n">
        <v>18</v>
      </c>
      <c r="N21" s="861" t="n">
        <v>0.125</v>
      </c>
      <c r="O21" s="857" t="n">
        <v>-1</v>
      </c>
      <c r="Q21" s="864"/>
    </row>
    <row r="22" customFormat="false" ht="15" hidden="false" customHeight="false" outlineLevel="0" collapsed="false">
      <c r="A22" s="859" t="n">
        <v>44891.6666666667</v>
      </c>
      <c r="C22" s="860" t="n">
        <f aca="false">A22+VLOOKUP($C$3,$K$4:$O$60,4,0)*VLOOKUP($C$3,$K$4:$O$60,5,0)</f>
        <v>44891.6666666667</v>
      </c>
      <c r="E22" s="857" t="n">
        <v>3</v>
      </c>
      <c r="F22" s="857" t="s">
        <v>228</v>
      </c>
      <c r="G22" s="857" t="n">
        <v>-5</v>
      </c>
      <c r="H22" s="857" t="n">
        <f aca="false">G22-$G$4</f>
        <v>-8</v>
      </c>
      <c r="I22" s="857" t="s">
        <v>243</v>
      </c>
      <c r="K22" s="858" t="n">
        <v>19</v>
      </c>
      <c r="L22" s="857" t="s">
        <v>244</v>
      </c>
      <c r="M22" s="858" t="n">
        <v>19</v>
      </c>
      <c r="N22" s="861" t="n">
        <v>0.125</v>
      </c>
      <c r="O22" s="857" t="n">
        <v>-1</v>
      </c>
      <c r="Q22" s="864"/>
    </row>
    <row r="23" customFormat="false" ht="15" hidden="false" customHeight="false" outlineLevel="0" collapsed="false">
      <c r="A23" s="859" t="n">
        <v>44891.9166666667</v>
      </c>
      <c r="C23" s="860" t="n">
        <f aca="false">A23+VLOOKUP($C$3,$K$4:$O$60,4,0)*VLOOKUP($C$3,$K$4:$O$60,5,0)</f>
        <v>44891.9166666667</v>
      </c>
      <c r="E23" s="857" t="n">
        <v>2</v>
      </c>
      <c r="F23" s="857" t="s">
        <v>245</v>
      </c>
      <c r="G23" s="857" t="n">
        <v>1</v>
      </c>
      <c r="H23" s="857" t="n">
        <f aca="false">G23-$G$4</f>
        <v>-2</v>
      </c>
      <c r="K23" s="858" t="n">
        <v>20</v>
      </c>
      <c r="L23" s="857" t="s">
        <v>224</v>
      </c>
      <c r="M23" s="858" t="n">
        <v>20</v>
      </c>
      <c r="N23" s="861" t="n">
        <v>0.125</v>
      </c>
      <c r="O23" s="857" t="n">
        <v>-1</v>
      </c>
      <c r="Q23" s="864"/>
    </row>
    <row r="24" customFormat="false" ht="15" hidden="false" customHeight="false" outlineLevel="0" collapsed="false">
      <c r="A24" s="859" t="n">
        <v>44895.9166666667</v>
      </c>
      <c r="C24" s="860" t="n">
        <f aca="false">A24+VLOOKUP($C$3,$K$4:$O$60,4,0)*VLOOKUP($C$3,$K$4:$O$60,5,0)</f>
        <v>44895.9166666667</v>
      </c>
      <c r="E24" s="857" t="n">
        <v>2</v>
      </c>
      <c r="F24" s="857" t="s">
        <v>235</v>
      </c>
      <c r="G24" s="857" t="n">
        <v>1</v>
      </c>
      <c r="H24" s="857" t="n">
        <f aca="false">G24-$G$4</f>
        <v>-2</v>
      </c>
      <c r="K24" s="858" t="n">
        <v>21</v>
      </c>
      <c r="L24" s="857" t="s">
        <v>229</v>
      </c>
      <c r="M24" s="858" t="n">
        <v>21</v>
      </c>
      <c r="N24" s="861" t="n">
        <v>0.0208333333333333</v>
      </c>
      <c r="O24" s="857" t="n">
        <v>1</v>
      </c>
    </row>
    <row r="25" customFormat="false" ht="15" hidden="false" customHeight="false" outlineLevel="0" collapsed="false">
      <c r="A25" s="859" t="n">
        <v>44895.9166666667</v>
      </c>
      <c r="C25" s="860" t="n">
        <f aca="false">A25+VLOOKUP($C$3,$K$4:$O$60,4,0)*VLOOKUP($C$3,$K$4:$O$60,5,0)</f>
        <v>44895.9166666667</v>
      </c>
      <c r="E25" s="857" t="n">
        <v>3</v>
      </c>
      <c r="F25" s="857" t="s">
        <v>246</v>
      </c>
      <c r="G25" s="857" t="n">
        <v>1</v>
      </c>
      <c r="H25" s="857" t="n">
        <f aca="false">G25-$G$4</f>
        <v>-2</v>
      </c>
      <c r="K25" s="858" t="n">
        <v>22</v>
      </c>
      <c r="L25" s="857" t="s">
        <v>232</v>
      </c>
      <c r="M25" s="858" t="n">
        <v>22</v>
      </c>
      <c r="N25" s="861" t="n">
        <v>0.25</v>
      </c>
      <c r="O25" s="857" t="n">
        <v>1</v>
      </c>
      <c r="Q25" s="864"/>
    </row>
    <row r="26" customFormat="false" ht="15" hidden="false" customHeight="false" outlineLevel="0" collapsed="false">
      <c r="E26" s="857" t="n">
        <v>2</v>
      </c>
      <c r="F26" s="857" t="s">
        <v>234</v>
      </c>
      <c r="G26" s="857" t="n">
        <v>1</v>
      </c>
      <c r="H26" s="857" t="n">
        <f aca="false">G26-$G$4</f>
        <v>-2</v>
      </c>
      <c r="K26" s="858" t="n">
        <v>23</v>
      </c>
      <c r="L26" s="857" t="s">
        <v>247</v>
      </c>
      <c r="M26" s="858" t="n">
        <v>23</v>
      </c>
      <c r="N26" s="861" t="n">
        <v>0.125</v>
      </c>
      <c r="O26" s="857" t="n">
        <v>-1</v>
      </c>
      <c r="Q26" s="864"/>
    </row>
    <row r="27" customFormat="false" ht="15" hidden="false" customHeight="false" outlineLevel="0" collapsed="false">
      <c r="A27" s="865" t="s">
        <v>248</v>
      </c>
      <c r="E27" s="857" t="n">
        <v>4</v>
      </c>
      <c r="F27" s="857" t="s">
        <v>249</v>
      </c>
      <c r="G27" s="857" t="n">
        <v>1</v>
      </c>
      <c r="H27" s="857" t="n">
        <f aca="false">G27-$G$4</f>
        <v>-2</v>
      </c>
      <c r="K27" s="858" t="n">
        <v>24</v>
      </c>
      <c r="L27" s="857" t="s">
        <v>240</v>
      </c>
      <c r="M27" s="858" t="n">
        <v>24</v>
      </c>
      <c r="N27" s="861" t="n">
        <v>0.375</v>
      </c>
      <c r="O27" s="857" t="n">
        <v>-1</v>
      </c>
    </row>
    <row r="28" customFormat="false" ht="15" hidden="false" customHeight="false" outlineLevel="0" collapsed="false">
      <c r="A28" s="859" t="n">
        <v>44887.6666666667</v>
      </c>
      <c r="C28" s="860" t="n">
        <f aca="false">A28+VLOOKUP($C$3,$K$4:$O$60,4,0)*VLOOKUP($C$3,$K$4:$O$60,5,0)</f>
        <v>44887.6666666667</v>
      </c>
      <c r="E28" s="857" t="n">
        <v>3</v>
      </c>
      <c r="F28" s="857" t="s">
        <v>250</v>
      </c>
      <c r="G28" s="857" t="n">
        <v>0</v>
      </c>
      <c r="H28" s="857" t="n">
        <f aca="false">G28-$G$4</f>
        <v>-3</v>
      </c>
      <c r="K28" s="858" t="n">
        <v>25</v>
      </c>
      <c r="L28" s="857" t="s">
        <v>227</v>
      </c>
      <c r="M28" s="858" t="n">
        <v>25</v>
      </c>
      <c r="N28" s="861" t="n">
        <v>0.0833333333333333</v>
      </c>
      <c r="O28" s="857" t="n">
        <v>-1</v>
      </c>
    </row>
    <row r="29" customFormat="false" ht="15" hidden="false" customHeight="false" outlineLevel="0" collapsed="false">
      <c r="A29" s="859" t="n">
        <v>44887.9166666667</v>
      </c>
      <c r="C29" s="860" t="n">
        <f aca="false">A29+VLOOKUP($C$3,$K$4:$O$60,4,0)*VLOOKUP($C$3,$K$4:$O$60,5,0)</f>
        <v>44887.9166666667</v>
      </c>
      <c r="E29" s="857" t="n">
        <v>3</v>
      </c>
      <c r="F29" s="857" t="s">
        <v>247</v>
      </c>
      <c r="G29" s="857" t="n">
        <v>0</v>
      </c>
      <c r="H29" s="857" t="n">
        <f aca="false">G29-$G$4</f>
        <v>-3</v>
      </c>
      <c r="K29" s="858" t="n">
        <v>26</v>
      </c>
      <c r="L29" s="857" t="s">
        <v>251</v>
      </c>
      <c r="M29" s="858" t="n">
        <v>26</v>
      </c>
      <c r="N29" s="861" t="n">
        <v>0.0833333333333333</v>
      </c>
      <c r="O29" s="857" t="n">
        <v>-1</v>
      </c>
      <c r="Q29" s="864"/>
    </row>
    <row r="30" customFormat="false" ht="15" hidden="false" customHeight="false" outlineLevel="0" collapsed="false">
      <c r="A30" s="859" t="n">
        <v>44891.5416666667</v>
      </c>
      <c r="C30" s="860" t="n">
        <f aca="false">A30+VLOOKUP($C$3,$K$4:$O$60,4,0)*VLOOKUP($C$3,$K$4:$O$60,5,0)</f>
        <v>44891.5416666667</v>
      </c>
      <c r="E30" s="857" t="n">
        <v>3</v>
      </c>
      <c r="F30" s="857" t="s">
        <v>251</v>
      </c>
      <c r="G30" s="857" t="n">
        <v>1</v>
      </c>
      <c r="H30" s="857" t="n">
        <f aca="false">G30-$G$4</f>
        <v>-2</v>
      </c>
      <c r="K30" s="858" t="n">
        <v>27</v>
      </c>
      <c r="L30" s="857" t="s">
        <v>236</v>
      </c>
      <c r="M30" s="858" t="n">
        <v>27</v>
      </c>
      <c r="N30" s="861" t="n">
        <v>0.125</v>
      </c>
      <c r="O30" s="857" t="n">
        <v>-1</v>
      </c>
    </row>
    <row r="31" customFormat="false" ht="15" hidden="false" customHeight="false" outlineLevel="0" collapsed="false">
      <c r="A31" s="859" t="n">
        <v>44891.7916666667</v>
      </c>
      <c r="C31" s="860" t="n">
        <f aca="false">A31+VLOOKUP($C$3,$K$4:$O$60,4,0)*VLOOKUP($C$3,$K$4:$O$60,5,0)</f>
        <v>44891.7916666667</v>
      </c>
      <c r="E31" s="857" t="n">
        <v>4</v>
      </c>
      <c r="F31" s="857" t="s">
        <v>225</v>
      </c>
      <c r="G31" s="857" t="n">
        <v>1</v>
      </c>
      <c r="H31" s="857" t="n">
        <f aca="false">G31-$G$4</f>
        <v>-2</v>
      </c>
      <c r="K31" s="858" t="n">
        <v>28</v>
      </c>
      <c r="L31" s="857" t="s">
        <v>250</v>
      </c>
      <c r="M31" s="858" t="n">
        <v>28</v>
      </c>
      <c r="N31" s="861" t="n">
        <v>0.125</v>
      </c>
      <c r="O31" s="857" t="n">
        <v>-1</v>
      </c>
    </row>
    <row r="32" customFormat="false" ht="15" hidden="false" customHeight="false" outlineLevel="0" collapsed="false">
      <c r="A32" s="859" t="n">
        <v>44895.75</v>
      </c>
      <c r="C32" s="860" t="n">
        <f aca="false">A32+VLOOKUP($C$3,$K$4:$O$60,4,0)*VLOOKUP($C$3,$K$4:$O$60,5,0)</f>
        <v>44895.75</v>
      </c>
      <c r="E32" s="857" t="n">
        <v>4</v>
      </c>
      <c r="F32" s="857" t="s">
        <v>244</v>
      </c>
      <c r="G32" s="857" t="n">
        <v>0</v>
      </c>
      <c r="H32" s="857" t="n">
        <f aca="false">G32-$G$4</f>
        <v>-3</v>
      </c>
      <c r="K32" s="858" t="n">
        <v>29</v>
      </c>
      <c r="L32" s="857" t="s">
        <v>246</v>
      </c>
      <c r="M32" s="858" t="n">
        <v>29</v>
      </c>
      <c r="N32" s="861" t="n">
        <v>0.0833333333333333</v>
      </c>
      <c r="O32" s="857" t="n">
        <v>-1</v>
      </c>
    </row>
    <row r="33" customFormat="false" ht="15" hidden="false" customHeight="false" outlineLevel="0" collapsed="false">
      <c r="A33" s="859" t="n">
        <v>44895.75</v>
      </c>
      <c r="C33" s="860" t="n">
        <f aca="false">A33+VLOOKUP($C$3,$K$4:$O$60,4,0)*VLOOKUP($C$3,$K$4:$O$60,5,0)</f>
        <v>44895.75</v>
      </c>
      <c r="E33" s="857" t="n">
        <v>4</v>
      </c>
      <c r="F33" s="857" t="s">
        <v>221</v>
      </c>
      <c r="G33" s="857" t="n">
        <v>10</v>
      </c>
      <c r="H33" s="857" t="n">
        <f aca="false">G33-$G$4</f>
        <v>7</v>
      </c>
      <c r="I33" s="857" t="s">
        <v>252</v>
      </c>
      <c r="K33" s="858" t="n">
        <v>30</v>
      </c>
      <c r="L33" s="857" t="s">
        <v>245</v>
      </c>
      <c r="M33" s="858" t="n">
        <v>30</v>
      </c>
      <c r="N33" s="861" t="n">
        <v>0.0833333333333333</v>
      </c>
      <c r="O33" s="857" t="n">
        <v>-1</v>
      </c>
    </row>
    <row r="34" customFormat="false" ht="15" hidden="false" customHeight="false" outlineLevel="0" collapsed="false">
      <c r="E34" s="857" t="n">
        <v>4</v>
      </c>
      <c r="F34" s="857" t="s">
        <v>242</v>
      </c>
      <c r="G34" s="857" t="n">
        <v>0</v>
      </c>
      <c r="H34" s="857" t="n">
        <v>-3</v>
      </c>
      <c r="K34" s="858" t="n">
        <v>31</v>
      </c>
      <c r="L34" s="857" t="s">
        <v>249</v>
      </c>
      <c r="M34" s="858" t="n">
        <v>31</v>
      </c>
      <c r="N34" s="861" t="n">
        <v>0.0833333333333333</v>
      </c>
      <c r="O34" s="857" t="n">
        <v>-1</v>
      </c>
    </row>
    <row r="35" customFormat="false" ht="15" hidden="false" customHeight="false" outlineLevel="0" collapsed="false">
      <c r="A35" s="865" t="s">
        <v>253</v>
      </c>
      <c r="E35" s="857" t="n">
        <v>4</v>
      </c>
      <c r="F35" s="857" t="s">
        <v>233</v>
      </c>
      <c r="G35" s="857" t="n">
        <v>-6</v>
      </c>
      <c r="H35" s="857" t="n">
        <f aca="false">G35-$G$4</f>
        <v>-9</v>
      </c>
      <c r="K35" s="858" t="n">
        <v>32</v>
      </c>
      <c r="L35" s="857" t="s">
        <v>238</v>
      </c>
      <c r="M35" s="858" t="n">
        <v>32</v>
      </c>
      <c r="N35" s="861" t="n">
        <v>0.25</v>
      </c>
      <c r="O35" s="857" t="n">
        <v>-1</v>
      </c>
    </row>
    <row r="36" customFormat="false" ht="15" hidden="false" customHeight="false" outlineLevel="0" collapsed="false">
      <c r="A36" s="859" t="n">
        <v>44888.6666666667</v>
      </c>
      <c r="C36" s="860" t="n">
        <f aca="false">A36+VLOOKUP($C$3,$K$4:$O$60,4,0)*VLOOKUP($C$3,$K$4:$O$60,5,0)</f>
        <v>44888.6666666667</v>
      </c>
      <c r="F36" s="857" t="s">
        <v>254</v>
      </c>
      <c r="G36" s="857" t="n">
        <v>-12</v>
      </c>
      <c r="H36" s="857" t="n">
        <f aca="false">G36-$G$4</f>
        <v>-15</v>
      </c>
      <c r="K36" s="858" t="n">
        <v>33</v>
      </c>
      <c r="L36" s="857" t="s">
        <v>254</v>
      </c>
      <c r="M36" s="858" t="n">
        <v>33</v>
      </c>
      <c r="N36" s="861" t="n">
        <v>0.625</v>
      </c>
      <c r="O36" s="857" t="n">
        <v>-1</v>
      </c>
    </row>
    <row r="37" customFormat="false" ht="15" hidden="false" customHeight="false" outlineLevel="0" collapsed="false">
      <c r="A37" s="859" t="n">
        <v>44888.7916666667</v>
      </c>
      <c r="C37" s="860" t="n">
        <f aca="false">A37+VLOOKUP($C$3,$K$4:$O$60,4,0)*VLOOKUP($C$3,$K$4:$O$60,5,0)</f>
        <v>44888.7916666667</v>
      </c>
      <c r="F37" s="857" t="s">
        <v>255</v>
      </c>
      <c r="G37" s="857" t="n">
        <v>-11</v>
      </c>
      <c r="H37" s="857" t="n">
        <f aca="false">G37-$G$4</f>
        <v>-14</v>
      </c>
      <c r="K37" s="858" t="n">
        <v>34</v>
      </c>
      <c r="L37" s="857" t="s">
        <v>255</v>
      </c>
      <c r="M37" s="858" t="n">
        <v>34</v>
      </c>
      <c r="N37" s="861" t="n">
        <v>0.583333333333333</v>
      </c>
      <c r="O37" s="857" t="n">
        <v>-1</v>
      </c>
    </row>
    <row r="38" customFormat="false" ht="15" hidden="false" customHeight="false" outlineLevel="0" collapsed="false">
      <c r="A38" s="859" t="n">
        <v>44892.5416666667</v>
      </c>
      <c r="C38" s="860" t="n">
        <f aca="false">A38+VLOOKUP($C$3,$K$4:$O$60,4,0)*VLOOKUP($C$3,$K$4:$O$60,5,0)</f>
        <v>44892.5416666667</v>
      </c>
      <c r="F38" s="857" t="s">
        <v>256</v>
      </c>
      <c r="G38" s="857" t="n">
        <v>-10</v>
      </c>
      <c r="H38" s="857" t="n">
        <f aca="false">G38-$G$4</f>
        <v>-13</v>
      </c>
      <c r="K38" s="858" t="n">
        <v>35</v>
      </c>
      <c r="L38" s="857" t="s">
        <v>256</v>
      </c>
      <c r="M38" s="858" t="n">
        <v>35</v>
      </c>
      <c r="N38" s="861" t="n">
        <v>0.541666666666667</v>
      </c>
      <c r="O38" s="857" t="n">
        <v>-1</v>
      </c>
    </row>
    <row r="39" customFormat="false" ht="15" hidden="false" customHeight="false" outlineLevel="0" collapsed="false">
      <c r="A39" s="859" t="n">
        <v>44892.9166666667</v>
      </c>
      <c r="C39" s="860" t="n">
        <f aca="false">A39+VLOOKUP($C$3,$K$4:$O$60,4,0)*VLOOKUP($C$3,$K$4:$O$60,5,0)</f>
        <v>44892.9166666667</v>
      </c>
      <c r="F39" s="857" t="s">
        <v>257</v>
      </c>
      <c r="G39" s="857" t="n">
        <v>-9</v>
      </c>
      <c r="H39" s="857" t="n">
        <f aca="false">G39-$G$4</f>
        <v>-12</v>
      </c>
      <c r="K39" s="858" t="n">
        <v>36</v>
      </c>
      <c r="L39" s="857" t="s">
        <v>257</v>
      </c>
      <c r="M39" s="858" t="n">
        <v>36</v>
      </c>
      <c r="N39" s="861" t="n">
        <v>0.5</v>
      </c>
      <c r="O39" s="857" t="n">
        <v>-1</v>
      </c>
    </row>
    <row r="40" customFormat="false" ht="15" hidden="false" customHeight="false" outlineLevel="0" collapsed="false">
      <c r="A40" s="859" t="n">
        <v>44896.9166666667</v>
      </c>
      <c r="C40" s="860" t="n">
        <f aca="false">A40+VLOOKUP($C$3,$K$4:$O$60,4,0)*VLOOKUP($C$3,$K$4:$O$60,5,0)</f>
        <v>44896.9166666667</v>
      </c>
      <c r="F40" s="857" t="s">
        <v>258</v>
      </c>
      <c r="G40" s="857" t="n">
        <v>-8</v>
      </c>
      <c r="H40" s="857" t="n">
        <f aca="false">G40-$G$4</f>
        <v>-11</v>
      </c>
      <c r="K40" s="858" t="n">
        <v>37</v>
      </c>
      <c r="L40" s="857" t="s">
        <v>258</v>
      </c>
      <c r="M40" s="858" t="n">
        <v>37</v>
      </c>
      <c r="N40" s="861" t="n">
        <v>0.458333333333333</v>
      </c>
      <c r="O40" s="857" t="n">
        <v>-1</v>
      </c>
    </row>
    <row r="41" customFormat="false" ht="15" hidden="false" customHeight="false" outlineLevel="0" collapsed="false">
      <c r="A41" s="859" t="n">
        <v>44896.9166666667</v>
      </c>
      <c r="C41" s="860" t="n">
        <f aca="false">A41+VLOOKUP($C$3,$K$4:$O$60,4,0)*VLOOKUP($C$3,$K$4:$O$60,5,0)</f>
        <v>44896.9166666667</v>
      </c>
      <c r="F41" s="857" t="s">
        <v>259</v>
      </c>
      <c r="G41" s="857" t="n">
        <v>-7</v>
      </c>
      <c r="H41" s="857" t="n">
        <f aca="false">G41-$G$4</f>
        <v>-10</v>
      </c>
      <c r="K41" s="858" t="n">
        <v>38</v>
      </c>
      <c r="L41" s="857" t="s">
        <v>259</v>
      </c>
      <c r="M41" s="858" t="n">
        <v>38</v>
      </c>
      <c r="N41" s="861" t="n">
        <v>0.416666666666667</v>
      </c>
      <c r="O41" s="857" t="n">
        <v>-1</v>
      </c>
    </row>
    <row r="42" customFormat="false" ht="15" hidden="false" customHeight="false" outlineLevel="0" collapsed="false">
      <c r="F42" s="857" t="s">
        <v>260</v>
      </c>
      <c r="G42" s="857" t="n">
        <v>-6</v>
      </c>
      <c r="H42" s="857" t="n">
        <f aca="false">G42-$G$4</f>
        <v>-9</v>
      </c>
      <c r="K42" s="858" t="n">
        <v>39</v>
      </c>
      <c r="L42" s="857" t="s">
        <v>260</v>
      </c>
      <c r="M42" s="858" t="n">
        <v>39</v>
      </c>
      <c r="N42" s="861" t="n">
        <v>0.375</v>
      </c>
      <c r="O42" s="857" t="n">
        <v>-1</v>
      </c>
    </row>
    <row r="43" customFormat="false" ht="15" hidden="false" customHeight="false" outlineLevel="0" collapsed="false">
      <c r="A43" s="865" t="s">
        <v>47</v>
      </c>
      <c r="F43" s="857" t="s">
        <v>261</v>
      </c>
      <c r="G43" s="857" t="n">
        <v>-5</v>
      </c>
      <c r="H43" s="857" t="n">
        <f aca="false">G43-$G$4</f>
        <v>-8</v>
      </c>
      <c r="K43" s="858" t="n">
        <v>40</v>
      </c>
      <c r="L43" s="857" t="s">
        <v>261</v>
      </c>
      <c r="M43" s="858" t="n">
        <v>40</v>
      </c>
      <c r="N43" s="861" t="n">
        <v>0.333333333333334</v>
      </c>
      <c r="O43" s="857" t="n">
        <v>-1</v>
      </c>
    </row>
    <row r="44" customFormat="false" ht="15" hidden="false" customHeight="false" outlineLevel="0" collapsed="false">
      <c r="A44" s="859" t="n">
        <v>44888.5416666667</v>
      </c>
      <c r="C44" s="860" t="n">
        <f aca="false">A44+VLOOKUP($C$3,$K$4:$O$60,4,0)*VLOOKUP($C$3,$K$4:$O$60,5,0)</f>
        <v>44888.5416666667</v>
      </c>
      <c r="F44" s="857" t="s">
        <v>262</v>
      </c>
      <c r="G44" s="857" t="n">
        <v>-4</v>
      </c>
      <c r="H44" s="857" t="n">
        <f aca="false">G44-$G$4</f>
        <v>-7</v>
      </c>
      <c r="K44" s="858" t="n">
        <v>41</v>
      </c>
      <c r="L44" s="857" t="s">
        <v>262</v>
      </c>
      <c r="M44" s="858" t="n">
        <v>41</v>
      </c>
      <c r="N44" s="861" t="n">
        <v>0.291666666666667</v>
      </c>
      <c r="O44" s="857" t="n">
        <v>-1</v>
      </c>
    </row>
    <row r="45" customFormat="false" ht="15" hidden="false" customHeight="false" outlineLevel="0" collapsed="false">
      <c r="A45" s="859" t="n">
        <v>44888.9166666667</v>
      </c>
      <c r="C45" s="860" t="n">
        <f aca="false">A45+VLOOKUP($C$3,$K$4:$O$60,4,0)*VLOOKUP($C$3,$K$4:$O$60,5,0)</f>
        <v>44888.9166666667</v>
      </c>
      <c r="F45" s="857" t="s">
        <v>263</v>
      </c>
      <c r="G45" s="857" t="n">
        <v>-3</v>
      </c>
      <c r="H45" s="857" t="n">
        <f aca="false">G45-$G$4</f>
        <v>-6</v>
      </c>
      <c r="K45" s="858" t="n">
        <v>42</v>
      </c>
      <c r="L45" s="857" t="s">
        <v>263</v>
      </c>
      <c r="M45" s="858" t="n">
        <v>42</v>
      </c>
      <c r="N45" s="861" t="n">
        <v>0.25</v>
      </c>
      <c r="O45" s="857" t="n">
        <v>-1</v>
      </c>
    </row>
    <row r="46" customFormat="false" ht="15" hidden="false" customHeight="false" outlineLevel="0" collapsed="false">
      <c r="A46" s="859" t="n">
        <v>44892.6666666667</v>
      </c>
      <c r="C46" s="860" t="n">
        <f aca="false">A46+VLOOKUP($C$3,$K$4:$O$60,4,0)*VLOOKUP($C$3,$K$4:$O$60,5,0)</f>
        <v>44892.6666666667</v>
      </c>
      <c r="F46" s="857" t="s">
        <v>264</v>
      </c>
      <c r="G46" s="857" t="n">
        <v>-2</v>
      </c>
      <c r="H46" s="857" t="n">
        <f aca="false">G46-$G$4</f>
        <v>-5</v>
      </c>
      <c r="K46" s="858" t="n">
        <v>43</v>
      </c>
      <c r="L46" s="857" t="s">
        <v>264</v>
      </c>
      <c r="M46" s="858" t="n">
        <v>43</v>
      </c>
      <c r="N46" s="861" t="n">
        <v>0.208333333333334</v>
      </c>
      <c r="O46" s="857" t="n">
        <v>-1</v>
      </c>
    </row>
    <row r="47" customFormat="false" ht="15" hidden="false" customHeight="false" outlineLevel="0" collapsed="false">
      <c r="A47" s="859" t="n">
        <v>44892.7916666667</v>
      </c>
      <c r="C47" s="860" t="n">
        <f aca="false">A47+VLOOKUP($C$3,$K$4:$O$60,4,0)*VLOOKUP($C$3,$K$4:$O$60,5,0)</f>
        <v>44892.7916666667</v>
      </c>
      <c r="F47" s="857" t="s">
        <v>265</v>
      </c>
      <c r="G47" s="857" t="n">
        <v>-1</v>
      </c>
      <c r="H47" s="857" t="n">
        <f aca="false">G47-$G$4</f>
        <v>-4</v>
      </c>
      <c r="K47" s="858" t="n">
        <v>44</v>
      </c>
      <c r="L47" s="857" t="s">
        <v>265</v>
      </c>
      <c r="M47" s="858" t="n">
        <v>44</v>
      </c>
      <c r="N47" s="861" t="n">
        <v>0.166666666666667</v>
      </c>
      <c r="O47" s="857" t="n">
        <v>-1</v>
      </c>
    </row>
    <row r="48" customFormat="false" ht="15" hidden="false" customHeight="false" outlineLevel="0" collapsed="false">
      <c r="A48" s="859" t="n">
        <v>44896.75</v>
      </c>
      <c r="C48" s="860" t="n">
        <f aca="false">A48+VLOOKUP($C$3,$K$4:$O$60,4,0)*VLOOKUP($C$3,$K$4:$O$60,5,0)</f>
        <v>44896.75</v>
      </c>
      <c r="F48" s="857" t="s">
        <v>266</v>
      </c>
      <c r="G48" s="857" t="n">
        <v>0</v>
      </c>
      <c r="H48" s="857" t="n">
        <f aca="false">G48-$G$4</f>
        <v>-3</v>
      </c>
      <c r="K48" s="858" t="n">
        <v>45</v>
      </c>
      <c r="L48" s="857" t="s">
        <v>266</v>
      </c>
      <c r="M48" s="858" t="n">
        <v>45</v>
      </c>
      <c r="N48" s="861" t="n">
        <v>0.125</v>
      </c>
      <c r="O48" s="857" t="n">
        <v>-1</v>
      </c>
    </row>
    <row r="49" customFormat="false" ht="15" hidden="false" customHeight="false" outlineLevel="0" collapsed="false">
      <c r="A49" s="859" t="n">
        <v>44896.75</v>
      </c>
      <c r="C49" s="860" t="n">
        <f aca="false">A49+VLOOKUP($C$3,$K$4:$O$60,4,0)*VLOOKUP($C$3,$K$4:$O$60,5,0)</f>
        <v>44896.75</v>
      </c>
      <c r="F49" s="857" t="s">
        <v>267</v>
      </c>
      <c r="G49" s="857" t="n">
        <v>1</v>
      </c>
      <c r="H49" s="857" t="n">
        <f aca="false">G49-$G$4</f>
        <v>-2</v>
      </c>
      <c r="K49" s="858" t="n">
        <v>46</v>
      </c>
      <c r="L49" s="857" t="s">
        <v>267</v>
      </c>
      <c r="M49" s="858" t="n">
        <v>46</v>
      </c>
      <c r="N49" s="861" t="n">
        <v>0.083333333333334</v>
      </c>
      <c r="O49" s="857" t="n">
        <v>-1</v>
      </c>
    </row>
    <row r="50" customFormat="false" ht="15" hidden="false" customHeight="false" outlineLevel="0" collapsed="false">
      <c r="F50" s="857" t="s">
        <v>268</v>
      </c>
      <c r="G50" s="857" t="n">
        <v>2</v>
      </c>
      <c r="H50" s="857" t="n">
        <f aca="false">G50-$G$4</f>
        <v>-1</v>
      </c>
      <c r="K50" s="858" t="n">
        <v>47</v>
      </c>
      <c r="L50" s="857" t="s">
        <v>268</v>
      </c>
      <c r="M50" s="858" t="n">
        <v>47</v>
      </c>
      <c r="N50" s="861" t="n">
        <v>0.041666666666667</v>
      </c>
      <c r="O50" s="857" t="n">
        <v>-1</v>
      </c>
    </row>
    <row r="51" customFormat="false" ht="15" hidden="false" customHeight="false" outlineLevel="0" collapsed="false">
      <c r="A51" s="865" t="s">
        <v>44</v>
      </c>
      <c r="F51" s="857" t="s">
        <v>269</v>
      </c>
      <c r="G51" s="857" t="n">
        <v>3</v>
      </c>
      <c r="H51" s="857" t="n">
        <f aca="false">G51-$G$4</f>
        <v>0</v>
      </c>
      <c r="K51" s="858" t="n">
        <v>48</v>
      </c>
      <c r="L51" s="857" t="s">
        <v>269</v>
      </c>
      <c r="M51" s="858" t="n">
        <v>48</v>
      </c>
      <c r="N51" s="861" t="n">
        <v>9.99200722162641E-016</v>
      </c>
      <c r="O51" s="857" t="n">
        <v>0</v>
      </c>
    </row>
    <row r="52" customFormat="false" ht="15" hidden="false" customHeight="false" outlineLevel="0" collapsed="false">
      <c r="A52" s="859" t="n">
        <v>44889.5416666667</v>
      </c>
      <c r="C52" s="860" t="n">
        <f aca="false">A52+VLOOKUP($C$3,$K$4:$O$60,4,0)*VLOOKUP($C$3,$K$4:$O$60,5,0)</f>
        <v>44889.5416666667</v>
      </c>
      <c r="F52" s="857" t="s">
        <v>270</v>
      </c>
      <c r="G52" s="857" t="n">
        <v>4</v>
      </c>
      <c r="H52" s="857" t="n">
        <f aca="false">G52-$G$4</f>
        <v>1</v>
      </c>
      <c r="K52" s="858" t="n">
        <v>49</v>
      </c>
      <c r="L52" s="857" t="s">
        <v>270</v>
      </c>
      <c r="M52" s="858" t="n">
        <v>49</v>
      </c>
      <c r="N52" s="861" t="n">
        <v>0.0416666666666667</v>
      </c>
      <c r="O52" s="857" t="n">
        <v>1</v>
      </c>
    </row>
    <row r="53" customFormat="false" ht="15" hidden="false" customHeight="false" outlineLevel="0" collapsed="false">
      <c r="A53" s="859" t="n">
        <v>44889.9166666667</v>
      </c>
      <c r="C53" s="860" t="n">
        <f aca="false">A53+VLOOKUP($C$3,$K$4:$O$60,4,0)*VLOOKUP($C$3,$K$4:$O$60,5,0)</f>
        <v>44889.9166666667</v>
      </c>
      <c r="F53" s="857" t="s">
        <v>271</v>
      </c>
      <c r="G53" s="857" t="n">
        <v>5</v>
      </c>
      <c r="H53" s="857" t="n">
        <f aca="false">G53-$G$4</f>
        <v>2</v>
      </c>
      <c r="K53" s="858" t="n">
        <v>50</v>
      </c>
      <c r="L53" s="857" t="s">
        <v>271</v>
      </c>
      <c r="M53" s="858" t="n">
        <v>50</v>
      </c>
      <c r="N53" s="861" t="n">
        <v>0.0833333333333333</v>
      </c>
      <c r="O53" s="857" t="n">
        <v>1</v>
      </c>
    </row>
    <row r="54" customFormat="false" ht="15" hidden="false" customHeight="false" outlineLevel="0" collapsed="false">
      <c r="A54" s="859" t="n">
        <v>44893.5416666667</v>
      </c>
      <c r="C54" s="860" t="n">
        <f aca="false">A54+VLOOKUP($C$3,$K$4:$O$60,4,0)*VLOOKUP($C$3,$K$4:$O$60,5,0)</f>
        <v>44893.5416666667</v>
      </c>
      <c r="F54" s="857" t="s">
        <v>272</v>
      </c>
      <c r="G54" s="857" t="n">
        <v>6</v>
      </c>
      <c r="H54" s="857" t="n">
        <f aca="false">G54-$G$4</f>
        <v>3</v>
      </c>
      <c r="K54" s="858" t="n">
        <v>51</v>
      </c>
      <c r="L54" s="857" t="s">
        <v>272</v>
      </c>
      <c r="M54" s="858" t="n">
        <v>51</v>
      </c>
      <c r="N54" s="861" t="n">
        <v>0.125</v>
      </c>
      <c r="O54" s="857" t="n">
        <v>1</v>
      </c>
    </row>
    <row r="55" customFormat="false" ht="15" hidden="false" customHeight="false" outlineLevel="0" collapsed="false">
      <c r="A55" s="859" t="n">
        <v>44893.7916666667</v>
      </c>
      <c r="C55" s="860" t="n">
        <f aca="false">A55+VLOOKUP($C$3,$K$4:$O$60,4,0)*VLOOKUP($C$3,$K$4:$O$60,5,0)</f>
        <v>44893.7916666667</v>
      </c>
      <c r="F55" s="857" t="s">
        <v>273</v>
      </c>
      <c r="G55" s="857" t="n">
        <v>7</v>
      </c>
      <c r="H55" s="857" t="n">
        <f aca="false">G55-$G$4</f>
        <v>4</v>
      </c>
      <c r="K55" s="858" t="n">
        <v>52</v>
      </c>
      <c r="L55" s="857" t="s">
        <v>273</v>
      </c>
      <c r="M55" s="858" t="n">
        <v>52</v>
      </c>
      <c r="N55" s="861" t="n">
        <v>0.166666666666667</v>
      </c>
      <c r="O55" s="857" t="n">
        <v>1</v>
      </c>
    </row>
    <row r="56" customFormat="false" ht="15" hidden="false" customHeight="false" outlineLevel="0" collapsed="false">
      <c r="A56" s="859" t="n">
        <v>44897.9166666667</v>
      </c>
      <c r="C56" s="860" t="n">
        <f aca="false">A56+VLOOKUP($C$3,$K$4:$O$60,4,0)*VLOOKUP($C$3,$K$4:$O$60,5,0)</f>
        <v>44897.9166666667</v>
      </c>
      <c r="F56" s="857" t="s">
        <v>274</v>
      </c>
      <c r="G56" s="857" t="n">
        <v>8</v>
      </c>
      <c r="H56" s="857" t="n">
        <f aca="false">G56-$G$4</f>
        <v>5</v>
      </c>
      <c r="K56" s="858" t="n">
        <v>53</v>
      </c>
      <c r="L56" s="857" t="s">
        <v>274</v>
      </c>
      <c r="M56" s="858" t="n">
        <v>53</v>
      </c>
      <c r="N56" s="861" t="n">
        <v>0.208333333333334</v>
      </c>
      <c r="O56" s="857" t="n">
        <v>1</v>
      </c>
    </row>
    <row r="57" customFormat="false" ht="15" hidden="false" customHeight="false" outlineLevel="0" collapsed="false">
      <c r="A57" s="859" t="n">
        <v>44897.9166666667</v>
      </c>
      <c r="C57" s="860" t="n">
        <f aca="false">A57+VLOOKUP($C$3,$K$4:$O$60,4,0)*VLOOKUP($C$3,$K$4:$O$60,5,0)</f>
        <v>44897.9166666667</v>
      </c>
      <c r="F57" s="857" t="s">
        <v>275</v>
      </c>
      <c r="G57" s="857" t="n">
        <v>9</v>
      </c>
      <c r="H57" s="857" t="n">
        <f aca="false">G57-$G$4</f>
        <v>6</v>
      </c>
      <c r="K57" s="858" t="n">
        <v>54</v>
      </c>
      <c r="L57" s="857" t="s">
        <v>275</v>
      </c>
      <c r="M57" s="858" t="n">
        <v>54</v>
      </c>
      <c r="N57" s="861" t="n">
        <v>0.25</v>
      </c>
      <c r="O57" s="857" t="n">
        <v>1</v>
      </c>
    </row>
    <row r="58" customFormat="false" ht="15" hidden="false" customHeight="false" outlineLevel="0" collapsed="false">
      <c r="F58" s="857" t="s">
        <v>276</v>
      </c>
      <c r="G58" s="857" t="n">
        <v>10</v>
      </c>
      <c r="H58" s="857" t="n">
        <f aca="false">G58-$G$4</f>
        <v>7</v>
      </c>
      <c r="K58" s="858" t="n">
        <v>55</v>
      </c>
      <c r="L58" s="857" t="s">
        <v>276</v>
      </c>
      <c r="M58" s="858" t="n">
        <v>55</v>
      </c>
      <c r="N58" s="861" t="n">
        <v>0.291666666666667</v>
      </c>
      <c r="O58" s="857" t="n">
        <v>1</v>
      </c>
    </row>
    <row r="59" customFormat="false" ht="15" hidden="false" customHeight="false" outlineLevel="0" collapsed="false">
      <c r="A59" s="865" t="s">
        <v>277</v>
      </c>
      <c r="F59" s="857" t="s">
        <v>278</v>
      </c>
      <c r="G59" s="857" t="n">
        <v>11</v>
      </c>
      <c r="H59" s="857" t="n">
        <f aca="false">G59-$G$4</f>
        <v>8</v>
      </c>
      <c r="K59" s="858" t="n">
        <v>56</v>
      </c>
      <c r="L59" s="857" t="s">
        <v>278</v>
      </c>
      <c r="M59" s="858" t="n">
        <v>56</v>
      </c>
      <c r="N59" s="861" t="n">
        <v>0.333333333333334</v>
      </c>
      <c r="O59" s="857" t="n">
        <v>1</v>
      </c>
    </row>
    <row r="60" customFormat="false" ht="15" hidden="false" customHeight="false" outlineLevel="0" collapsed="false">
      <c r="A60" s="859" t="n">
        <v>44889.6666666667</v>
      </c>
      <c r="C60" s="860" t="n">
        <f aca="false">A60+VLOOKUP($C$3,$K$4:$O$60,4,0)*VLOOKUP($C$3,$K$4:$O$60,5,0)</f>
        <v>44889.6666666667</v>
      </c>
      <c r="F60" s="857" t="s">
        <v>279</v>
      </c>
      <c r="G60" s="857" t="n">
        <v>12</v>
      </c>
      <c r="H60" s="857" t="n">
        <f aca="false">G60-$G$4</f>
        <v>9</v>
      </c>
      <c r="K60" s="858" t="n">
        <v>57</v>
      </c>
      <c r="L60" s="857" t="s">
        <v>279</v>
      </c>
      <c r="M60" s="858" t="n">
        <v>57</v>
      </c>
      <c r="N60" s="861" t="n">
        <v>0.375</v>
      </c>
      <c r="O60" s="857" t="n">
        <v>1</v>
      </c>
    </row>
    <row r="61" customFormat="false" ht="15" hidden="false" customHeight="false" outlineLevel="0" collapsed="false">
      <c r="A61" s="859" t="n">
        <v>44889.7916666667</v>
      </c>
      <c r="C61" s="860" t="n">
        <f aca="false">A61+VLOOKUP($C$3,$K$4:$O$60,4,0)*VLOOKUP($C$3,$K$4:$O$60,5,0)</f>
        <v>44889.7916666667</v>
      </c>
    </row>
    <row r="62" customFormat="false" ht="15" hidden="false" customHeight="false" outlineLevel="0" collapsed="false">
      <c r="A62" s="859" t="n">
        <v>44893.6666666667</v>
      </c>
      <c r="C62" s="860" t="n">
        <f aca="false">A62+VLOOKUP($C$3,$K$4:$O$60,4,0)*VLOOKUP($C$3,$K$4:$O$60,5,0)</f>
        <v>44893.6666666667</v>
      </c>
    </row>
    <row r="63" customFormat="false" ht="15" hidden="false" customHeight="false" outlineLevel="0" collapsed="false">
      <c r="A63" s="859" t="n">
        <v>44893.9166666667</v>
      </c>
      <c r="C63" s="860" t="n">
        <f aca="false">A63+VLOOKUP($C$3,$K$4:$O$60,4,0)*VLOOKUP($C$3,$K$4:$O$60,5,0)</f>
        <v>44893.9166666667</v>
      </c>
    </row>
    <row r="64" customFormat="false" ht="15" hidden="false" customHeight="false" outlineLevel="0" collapsed="false">
      <c r="A64" s="859" t="n">
        <v>44897.75</v>
      </c>
      <c r="C64" s="860" t="n">
        <f aca="false">A64+VLOOKUP($C$3,$K$4:$O$60,4,0)*VLOOKUP($C$3,$K$4:$O$60,5,0)</f>
        <v>44897.75</v>
      </c>
    </row>
    <row r="65" customFormat="false" ht="15" hidden="false" customHeight="false" outlineLevel="0" collapsed="false">
      <c r="A65" s="859" t="n">
        <v>44897.75</v>
      </c>
      <c r="C65" s="860" t="n">
        <f aca="false">A65+VLOOKUP($C$3,$K$4:$O$60,4,0)*VLOOKUP($C$3,$K$4:$O$60,5,0)</f>
        <v>44897.75</v>
      </c>
    </row>
    <row r="67" customFormat="false" ht="15" hidden="false" customHeight="false" outlineLevel="0" collapsed="false">
      <c r="A67" s="866" t="s">
        <v>280</v>
      </c>
    </row>
    <row r="68" customFormat="false" ht="15" hidden="false" customHeight="false" outlineLevel="0" collapsed="false">
      <c r="A68" s="859" t="n">
        <v>44898.75</v>
      </c>
      <c r="C68" s="860" t="n">
        <f aca="false">A68+VLOOKUP($C$3,$K$4:$O$60,4,0)*VLOOKUP($C$3,$K$4:$O$60,5,0)</f>
        <v>44898.75</v>
      </c>
    </row>
    <row r="69" customFormat="false" ht="15" hidden="false" customHeight="false" outlineLevel="0" collapsed="false">
      <c r="A69" s="859" t="n">
        <v>44898.9166666667</v>
      </c>
      <c r="C69" s="860" t="n">
        <f aca="false">A69+VLOOKUP($C$3,$K$4:$O$60,4,0)*VLOOKUP($C$3,$K$4:$O$60,5,0)</f>
        <v>44898.9166666667</v>
      </c>
    </row>
    <row r="70" customFormat="false" ht="15" hidden="false" customHeight="false" outlineLevel="0" collapsed="false">
      <c r="A70" s="859" t="n">
        <v>44899.75</v>
      </c>
      <c r="C70" s="860" t="n">
        <f aca="false">A70+VLOOKUP($C$3,$K$4:$O$60,4,0)*VLOOKUP($C$3,$K$4:$O$60,5,0)</f>
        <v>44899.75</v>
      </c>
    </row>
    <row r="71" customFormat="false" ht="15" hidden="false" customHeight="false" outlineLevel="0" collapsed="false">
      <c r="A71" s="859" t="n">
        <v>44899.9166666667</v>
      </c>
      <c r="C71" s="860" t="n">
        <f aca="false">A71+VLOOKUP($C$3,$K$4:$O$60,4,0)*VLOOKUP($C$3,$K$4:$O$60,5,0)</f>
        <v>44899.9166666667</v>
      </c>
    </row>
    <row r="72" customFormat="false" ht="15" hidden="false" customHeight="false" outlineLevel="0" collapsed="false">
      <c r="A72" s="859" t="n">
        <v>44900.75</v>
      </c>
      <c r="C72" s="860" t="n">
        <f aca="false">A72+VLOOKUP($C$3,$K$4:$O$60,4,0)*VLOOKUP($C$3,$K$4:$O$60,5,0)</f>
        <v>44900.75</v>
      </c>
    </row>
    <row r="73" customFormat="false" ht="15" hidden="false" customHeight="false" outlineLevel="0" collapsed="false">
      <c r="A73" s="859" t="n">
        <v>44900.9166666667</v>
      </c>
      <c r="C73" s="860" t="n">
        <f aca="false">A73+VLOOKUP($C$3,$K$4:$O$60,4,0)*VLOOKUP($C$3,$K$4:$O$60,5,0)</f>
        <v>44900.9166666667</v>
      </c>
    </row>
    <row r="74" customFormat="false" ht="15" hidden="false" customHeight="false" outlineLevel="0" collapsed="false">
      <c r="A74" s="859" t="n">
        <v>44901.75</v>
      </c>
      <c r="C74" s="860" t="n">
        <f aca="false">A74+VLOOKUP($C$3,$K$4:$O$60,4,0)*VLOOKUP($C$3,$K$4:$O$60,5,0)</f>
        <v>44901.75</v>
      </c>
    </row>
    <row r="75" customFormat="false" ht="15" hidden="false" customHeight="false" outlineLevel="0" collapsed="false">
      <c r="A75" s="859" t="n">
        <v>44901.9166666667</v>
      </c>
      <c r="C75" s="860" t="n">
        <f aca="false">A75+VLOOKUP($C$3,$K$4:$O$60,4,0)*VLOOKUP($C$3,$K$4:$O$60,5,0)</f>
        <v>44901.9166666667</v>
      </c>
    </row>
    <row r="79" customFormat="false" ht="15" hidden="false" customHeight="false" outlineLevel="0" collapsed="false">
      <c r="A79" s="866" t="s">
        <v>281</v>
      </c>
    </row>
    <row r="80" customFormat="false" ht="15" hidden="false" customHeight="false" outlineLevel="0" collapsed="false">
      <c r="A80" s="859" t="n">
        <v>44904.75</v>
      </c>
      <c r="C80" s="860" t="n">
        <f aca="false">A80+VLOOKUP($C$3,$K$4:$O$60,4,0)*VLOOKUP($C$3,$K$4:$O$60,5,0)</f>
        <v>44904.75</v>
      </c>
    </row>
    <row r="81" customFormat="false" ht="15" hidden="false" customHeight="false" outlineLevel="0" collapsed="false">
      <c r="A81" s="859" t="n">
        <v>44904.9166666667</v>
      </c>
      <c r="C81" s="860" t="n">
        <f aca="false">A81+VLOOKUP($C$3,$K$4:$O$60,4,0)*VLOOKUP($C$3,$K$4:$O$60,5,0)</f>
        <v>44904.9166666667</v>
      </c>
    </row>
    <row r="82" customFormat="false" ht="15" hidden="false" customHeight="false" outlineLevel="0" collapsed="false">
      <c r="A82" s="859" t="n">
        <v>44905.75</v>
      </c>
      <c r="C82" s="860" t="n">
        <f aca="false">A82+VLOOKUP($C$3,$K$4:$O$60,4,0)*VLOOKUP($C$3,$K$4:$O$60,5,0)</f>
        <v>44905.75</v>
      </c>
    </row>
    <row r="83" customFormat="false" ht="15" hidden="false" customHeight="false" outlineLevel="0" collapsed="false">
      <c r="A83" s="859" t="n">
        <v>44905.9166666667</v>
      </c>
      <c r="C83" s="860" t="n">
        <f aca="false">A83+VLOOKUP($C$3,$K$4:$O$60,4,0)*VLOOKUP($C$3,$K$4:$O$60,5,0)</f>
        <v>44905.9166666667</v>
      </c>
    </row>
    <row r="85" customFormat="false" ht="15" hidden="false" customHeight="false" outlineLevel="0" collapsed="false">
      <c r="A85" s="867" t="s">
        <v>202</v>
      </c>
    </row>
    <row r="86" customFormat="false" ht="15" hidden="false" customHeight="false" outlineLevel="0" collapsed="false">
      <c r="A86" s="859" t="n">
        <v>44908.9166666667</v>
      </c>
      <c r="C86" s="860" t="n">
        <f aca="false">A86+VLOOKUP($C$3,$K$4:$O$60,4,0)*VLOOKUP($C$3,$K$4:$O$60,5,0)</f>
        <v>44908.9166666667</v>
      </c>
    </row>
    <row r="87" customFormat="false" ht="15" hidden="false" customHeight="false" outlineLevel="0" collapsed="false">
      <c r="A87" s="859" t="n">
        <v>44909.9166666667</v>
      </c>
      <c r="C87" s="860" t="n">
        <f aca="false">A87+VLOOKUP($C$3,$K$4:$O$60,4,0)*VLOOKUP($C$3,$K$4:$O$60,5,0)</f>
        <v>44909.9166666667</v>
      </c>
    </row>
    <row r="89" customFormat="false" ht="15" hidden="false" customHeight="false" outlineLevel="0" collapsed="false">
      <c r="A89" s="868" t="s">
        <v>95</v>
      </c>
    </row>
    <row r="90" customFormat="false" ht="15" hidden="false" customHeight="false" outlineLevel="0" collapsed="false">
      <c r="A90" s="859" t="n">
        <v>44912.75</v>
      </c>
      <c r="C90" s="860" t="n">
        <f aca="false">A90+VLOOKUP($C$3,$K$4:$O$60,4,0)*VLOOKUP($C$3,$K$4:$O$60,5,0)</f>
        <v>44912.75</v>
      </c>
    </row>
    <row r="92" customFormat="false" ht="15" hidden="false" customHeight="false" outlineLevel="0" collapsed="false">
      <c r="A92" s="868" t="s">
        <v>85</v>
      </c>
    </row>
    <row r="93" customFormat="false" ht="15" hidden="false" customHeight="false" outlineLevel="0" collapsed="false">
      <c r="A93" s="859" t="n">
        <v>44913.75</v>
      </c>
      <c r="C93" s="860" t="n">
        <f aca="false">A93+VLOOKUP($C$3,$K$4:$O$60,4,0)*VLOOKUP($C$3,$K$4:$O$60,5,0)</f>
        <v>44913.75</v>
      </c>
    </row>
  </sheetData>
  <sheetProtection algorithmName="SHA-512" hashValue="hMN5Pxfa107i3taxYxN01A4+qUZJbrkMoG71UbvJCmQAnpH7mZv5znBoyMcF9XeE+v+C98dBWaF3p3gCTj/pIw==" saltValue="1FN+hem4i7TdvYJaTTfbOQ==" spinCount="100000" sheet="true" objects="true" scenarios="true" selectLockedCells="true" selectUnlockedCells="true"/>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06"/>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H33" activeCellId="0" sqref="H33"/>
    </sheetView>
  </sheetViews>
  <sheetFormatPr defaultColWidth="20.4453125" defaultRowHeight="15" zeroHeight="false" outlineLevelRow="0" outlineLevelCol="0"/>
  <cols>
    <col collapsed="false" customWidth="true" hidden="false" outlineLevel="0" max="1" min="1" style="431" width="6.71"/>
    <col collapsed="false" customWidth="true" hidden="false" outlineLevel="0" max="2" min="2" style="431" width="16.71"/>
    <col collapsed="false" customWidth="true" hidden="false" outlineLevel="0" max="3" min="3" style="431" width="11.42"/>
    <col collapsed="false" customWidth="true" hidden="false" outlineLevel="0" max="4" min="4" style="431" width="8.71"/>
    <col collapsed="false" customWidth="true" hidden="false" outlineLevel="0" max="5" min="5" style="431" width="11.29"/>
    <col collapsed="false" customWidth="true" hidden="false" outlineLevel="0" max="6" min="6" style="431" width="15.29"/>
    <col collapsed="false" customWidth="true" hidden="false" outlineLevel="0" max="7" min="7" style="431" width="4.14"/>
    <col collapsed="false" customWidth="false" hidden="false" outlineLevel="0" max="8" min="8" style="431" width="20.42"/>
    <col collapsed="false" customWidth="true" hidden="false" outlineLevel="0" max="9" min="9" style="431" width="13.01"/>
    <col collapsed="false" customWidth="true" hidden="false" outlineLevel="0" max="10" min="10" style="431" width="11.99"/>
    <col collapsed="false" customWidth="false" hidden="false" outlineLevel="0" max="12" min="11" style="431" width="20.42"/>
    <col collapsed="false" customWidth="false" hidden="false" outlineLevel="0" max="1025" min="13" style="869" width="20.42"/>
  </cols>
  <sheetData>
    <row r="1" customFormat="false" ht="15" hidden="false" customHeight="true" outlineLevel="0" collapsed="false">
      <c r="A1" s="870" t="s">
        <v>282</v>
      </c>
      <c r="B1" s="870" t="s">
        <v>29</v>
      </c>
      <c r="C1" s="870" t="s">
        <v>283</v>
      </c>
      <c r="D1" s="870" t="s">
        <v>54</v>
      </c>
      <c r="F1" s="431" t="s">
        <v>284</v>
      </c>
      <c r="H1" s="870"/>
      <c r="I1" s="870"/>
      <c r="K1" s="869" t="s">
        <v>285</v>
      </c>
    </row>
    <row r="2" customFormat="false" ht="15" hidden="false" customHeight="true" outlineLevel="0" collapsed="false">
      <c r="A2" s="871" t="n">
        <v>1</v>
      </c>
      <c r="B2" s="872" t="str">
        <f aca="false">VLOOKUP(Tabla3[[#This Row],[OK]],$G$2:$H$33,2,0)</f>
        <v>Catar</v>
      </c>
      <c r="C2" s="873" t="s">
        <v>30</v>
      </c>
      <c r="D2" s="873" t="n">
        <v>1</v>
      </c>
      <c r="F2" s="431" t="s">
        <v>30</v>
      </c>
      <c r="G2" s="431" t="n">
        <v>1</v>
      </c>
      <c r="H2" s="10" t="s">
        <v>6</v>
      </c>
      <c r="I2" s="431" t="str">
        <f aca="false">VLOOKUP(H2,$K$2:$L$56,2,0)</f>
        <v>🇶🇦</v>
      </c>
      <c r="K2" s="10" t="s">
        <v>6</v>
      </c>
      <c r="L2" s="10" t="s">
        <v>286</v>
      </c>
    </row>
    <row r="3" customFormat="false" ht="15" hidden="false" customHeight="true" outlineLevel="0" collapsed="false">
      <c r="A3" s="871" t="n">
        <v>2</v>
      </c>
      <c r="B3" s="872" t="str">
        <f aca="false">VLOOKUP(Tabla3[[#This Row],[OK]],$G$2:$H$33,2,0)</f>
        <v>Ecuador</v>
      </c>
      <c r="C3" s="873" t="s">
        <v>30</v>
      </c>
      <c r="D3" s="873" t="n">
        <v>2</v>
      </c>
      <c r="F3" s="431" t="s">
        <v>82</v>
      </c>
      <c r="G3" s="431" t="n">
        <v>2</v>
      </c>
      <c r="H3" s="10" t="s">
        <v>237</v>
      </c>
      <c r="I3" s="431" t="str">
        <f aca="false">VLOOKUP(H3,$K$2:$L$56,2,0)</f>
        <v>🇪🇨</v>
      </c>
      <c r="K3" s="10" t="s">
        <v>217</v>
      </c>
      <c r="L3" s="10" t="s">
        <v>287</v>
      </c>
    </row>
    <row r="4" customFormat="false" ht="15" hidden="false" customHeight="true" outlineLevel="0" collapsed="false">
      <c r="A4" s="871" t="n">
        <v>3</v>
      </c>
      <c r="B4" s="872" t="str">
        <f aca="false">VLOOKUP(Tabla3[[#This Row],[OK]],$G$2:$H$33,2,0)</f>
        <v>Senegal</v>
      </c>
      <c r="C4" s="873" t="s">
        <v>30</v>
      </c>
      <c r="D4" s="873" t="n">
        <v>3</v>
      </c>
      <c r="F4" s="431" t="s">
        <v>83</v>
      </c>
      <c r="G4" s="431" t="n">
        <v>3</v>
      </c>
      <c r="H4" s="10" t="s">
        <v>250</v>
      </c>
      <c r="I4" s="431" t="str">
        <f aca="false">VLOOKUP(H4,$K$2:$L$56,2,0)</f>
        <v>🇸🇳</v>
      </c>
      <c r="K4" s="10" t="s">
        <v>219</v>
      </c>
      <c r="L4" s="10" t="s">
        <v>288</v>
      </c>
    </row>
    <row r="5" customFormat="false" ht="15" hidden="false" customHeight="true" outlineLevel="0" collapsed="false">
      <c r="A5" s="871" t="n">
        <v>4</v>
      </c>
      <c r="B5" s="872" t="str">
        <f aca="false">VLOOKUP(Tabla3[[#This Row],[OK]],$G$2:$H$33,2,0)</f>
        <v>Paises Bajos</v>
      </c>
      <c r="C5" s="873" t="s">
        <v>30</v>
      </c>
      <c r="D5" s="873" t="n">
        <v>4</v>
      </c>
      <c r="F5" s="431" t="s">
        <v>84</v>
      </c>
      <c r="G5" s="431" t="n">
        <v>4</v>
      </c>
      <c r="H5" s="10" t="s">
        <v>289</v>
      </c>
      <c r="I5" s="431" t="str">
        <f aca="false">VLOOKUP(H5,$K$2:$L$56,2,0)</f>
        <v>🇳🇱</v>
      </c>
      <c r="K5" s="10" t="s">
        <v>220</v>
      </c>
      <c r="L5" s="10" t="s">
        <v>290</v>
      </c>
    </row>
    <row r="6" customFormat="false" ht="15" hidden="false" customHeight="true" outlineLevel="0" collapsed="false">
      <c r="A6" s="871" t="n">
        <v>5</v>
      </c>
      <c r="B6" s="872" t="str">
        <f aca="false">VLOOKUP(Tabla3[[#This Row],[OK]],$G$2:$H$33,2,0)</f>
        <v>Inglaterra</v>
      </c>
      <c r="C6" s="873" t="s">
        <v>82</v>
      </c>
      <c r="D6" s="873" t="n">
        <v>5</v>
      </c>
      <c r="F6" s="431" t="s">
        <v>45</v>
      </c>
      <c r="G6" s="431" t="n">
        <v>5</v>
      </c>
      <c r="H6" s="10" t="s">
        <v>224</v>
      </c>
      <c r="I6" s="431" t="str">
        <f aca="false">VLOOKUP(H6,$K$2:$L$56,2,0)</f>
        <v>🏴󠁧󠁢󠁥󠁮󠁧󠁿</v>
      </c>
      <c r="K6" s="10" t="s">
        <v>216</v>
      </c>
      <c r="L6" s="10" t="s">
        <v>291</v>
      </c>
    </row>
    <row r="7" customFormat="false" ht="15" hidden="false" customHeight="true" outlineLevel="0" collapsed="false">
      <c r="A7" s="871" t="n">
        <v>6</v>
      </c>
      <c r="B7" s="872" t="str">
        <f aca="false">VLOOKUP(Tabla3[[#This Row],[OK]],$G$2:$H$33,2,0)</f>
        <v>Irán</v>
      </c>
      <c r="C7" s="873" t="s">
        <v>82</v>
      </c>
      <c r="D7" s="873" t="n">
        <v>6</v>
      </c>
      <c r="F7" s="431" t="s">
        <v>85</v>
      </c>
      <c r="G7" s="431" t="n">
        <v>6</v>
      </c>
      <c r="H7" s="10" t="s">
        <v>229</v>
      </c>
      <c r="I7" s="431" t="str">
        <f aca="false">VLOOKUP(H7,$K$2:$L$56,2,0)</f>
        <v>🇮🇷</v>
      </c>
      <c r="K7" s="10" t="s">
        <v>223</v>
      </c>
      <c r="L7" s="10" t="s">
        <v>292</v>
      </c>
    </row>
    <row r="8" customFormat="false" ht="15" hidden="false" customHeight="true" outlineLevel="0" collapsed="false">
      <c r="A8" s="871" t="n">
        <v>7</v>
      </c>
      <c r="B8" s="872" t="str">
        <f aca="false">VLOOKUP(Tabla3[[#This Row],[OK]],$G$2:$H$33,2,0)</f>
        <v>Estados unidos</v>
      </c>
      <c r="C8" s="873" t="s">
        <v>82</v>
      </c>
      <c r="D8" s="873" t="n">
        <v>7</v>
      </c>
      <c r="F8" s="431" t="s">
        <v>44</v>
      </c>
      <c r="G8" s="431" t="n">
        <v>7</v>
      </c>
      <c r="H8" s="10" t="s">
        <v>239</v>
      </c>
      <c r="I8" s="431" t="str">
        <f aca="false">VLOOKUP(H8,$K$2:$L$56,2,0)</f>
        <v>🇺🇸</v>
      </c>
      <c r="K8" s="10" t="s">
        <v>293</v>
      </c>
      <c r="L8" s="10" t="s">
        <v>294</v>
      </c>
    </row>
    <row r="9" customFormat="false" ht="15" hidden="false" customHeight="true" outlineLevel="0" collapsed="false">
      <c r="A9" s="871" t="n">
        <v>8</v>
      </c>
      <c r="B9" s="872" t="str">
        <f aca="false">VLOOKUP(Tabla3[[#This Row],[OK]],$G$2:$H$33,2,0)</f>
        <v>Gales</v>
      </c>
      <c r="C9" s="873" t="s">
        <v>82</v>
      </c>
      <c r="D9" s="873" t="n">
        <v>8</v>
      </c>
      <c r="F9" s="431" t="s">
        <v>86</v>
      </c>
      <c r="G9" s="431" t="n">
        <v>8</v>
      </c>
      <c r="H9" s="10" t="s">
        <v>242</v>
      </c>
      <c r="I9" s="431" t="str">
        <f aca="false">VLOOKUP(H9,$K$2:$L$56,2,0)</f>
        <v>🏴󠁧󠁢󠁷󠁬󠁳󠁿</v>
      </c>
      <c r="K9" s="10" t="s">
        <v>224</v>
      </c>
      <c r="L9" s="10" t="s">
        <v>295</v>
      </c>
    </row>
    <row r="10" customFormat="false" ht="15" hidden="false" customHeight="true" outlineLevel="0" collapsed="false">
      <c r="A10" s="871" t="n">
        <v>9</v>
      </c>
      <c r="B10" s="872" t="str">
        <f aca="false">VLOOKUP(Tabla3[[#This Row],[OK]],$G$2:$H$33,2,0)</f>
        <v>Argentina</v>
      </c>
      <c r="C10" s="873" t="s">
        <v>83</v>
      </c>
      <c r="D10" s="873" t="n">
        <v>9</v>
      </c>
      <c r="G10" s="431" t="n">
        <v>9</v>
      </c>
      <c r="H10" s="10" t="s">
        <v>219</v>
      </c>
      <c r="I10" s="431" t="str">
        <f aca="false">VLOOKUP(H10,$K$2:$L$56,2,0)</f>
        <v>🇦🇷</v>
      </c>
      <c r="K10" s="10" t="s">
        <v>289</v>
      </c>
      <c r="L10" s="10" t="s">
        <v>296</v>
      </c>
    </row>
    <row r="11" customFormat="false" ht="15" hidden="false" customHeight="true" outlineLevel="0" collapsed="false">
      <c r="A11" s="871" t="n">
        <v>10</v>
      </c>
      <c r="B11" s="872" t="str">
        <f aca="false">VLOOKUP(Tabla3[[#This Row],[OK]],$G$2:$H$33,2,0)</f>
        <v>Arabia Saudita</v>
      </c>
      <c r="C11" s="873" t="s">
        <v>83</v>
      </c>
      <c r="D11" s="873" t="n">
        <v>10</v>
      </c>
      <c r="G11" s="431" t="n">
        <v>10</v>
      </c>
      <c r="H11" s="10" t="s">
        <v>297</v>
      </c>
      <c r="I11" s="431" t="str">
        <f aca="false">VLOOKUP(H11,$K$2:$L$56,2,0)</f>
        <v>🇸🇦</v>
      </c>
      <c r="K11" s="10" t="s">
        <v>298</v>
      </c>
      <c r="L11" s="10" t="s">
        <v>299</v>
      </c>
    </row>
    <row r="12" customFormat="false" ht="15" hidden="false" customHeight="true" outlineLevel="0" collapsed="false">
      <c r="A12" s="871" t="n">
        <v>11</v>
      </c>
      <c r="B12" s="872" t="str">
        <f aca="false">VLOOKUP(Tabla3[[#This Row],[OK]],$G$2:$H$33,2,0)</f>
        <v>México</v>
      </c>
      <c r="C12" s="873" t="s">
        <v>83</v>
      </c>
      <c r="D12" s="873" t="n">
        <v>11</v>
      </c>
      <c r="G12" s="431" t="n">
        <v>11</v>
      </c>
      <c r="H12" s="10" t="s">
        <v>240</v>
      </c>
      <c r="I12" s="431" t="str">
        <f aca="false">VLOOKUP(H12,$K$2:$L$56,2,0)</f>
        <v>🇲🇽</v>
      </c>
      <c r="K12" s="10" t="s">
        <v>229</v>
      </c>
      <c r="L12" s="10" t="s">
        <v>300</v>
      </c>
    </row>
    <row r="13" customFormat="false" ht="15" hidden="false" customHeight="true" outlineLevel="0" collapsed="false">
      <c r="A13" s="871" t="n">
        <v>12</v>
      </c>
      <c r="B13" s="872" t="str">
        <f aca="false">VLOOKUP(Tabla3[[#This Row],[OK]],$G$2:$H$33,2,0)</f>
        <v>Polonia</v>
      </c>
      <c r="C13" s="873" t="s">
        <v>83</v>
      </c>
      <c r="D13" s="873" t="n">
        <v>12</v>
      </c>
      <c r="G13" s="431" t="n">
        <v>12</v>
      </c>
      <c r="H13" s="10" t="s">
        <v>251</v>
      </c>
      <c r="I13" s="431" t="str">
        <f aca="false">VLOOKUP(H13,$K$2:$L$56,2,0)</f>
        <v>🇵🇱</v>
      </c>
      <c r="K13" s="10" t="s">
        <v>231</v>
      </c>
      <c r="L13" s="10" t="s">
        <v>301</v>
      </c>
    </row>
    <row r="14" customFormat="false" ht="15" hidden="false" customHeight="true" outlineLevel="0" collapsed="false">
      <c r="A14" s="871" t="n">
        <v>13</v>
      </c>
      <c r="B14" s="872" t="str">
        <f aca="false">VLOOKUP(Tabla3[[#This Row],[OK]],$G$2:$H$33,2,0)</f>
        <v>Francia</v>
      </c>
      <c r="C14" s="873" t="s">
        <v>84</v>
      </c>
      <c r="D14" s="873" t="n">
        <v>13</v>
      </c>
      <c r="G14" s="431" t="n">
        <v>13</v>
      </c>
      <c r="H14" s="10" t="s">
        <v>223</v>
      </c>
      <c r="I14" s="431" t="str">
        <f aca="false">VLOOKUP(H14,$K$2:$L$56,2,0)</f>
        <v>🇫🇷</v>
      </c>
      <c r="K14" s="10" t="s">
        <v>302</v>
      </c>
      <c r="L14" s="10" t="s">
        <v>303</v>
      </c>
    </row>
    <row r="15" customFormat="false" ht="15" hidden="false" customHeight="true" outlineLevel="0" collapsed="false">
      <c r="A15" s="871" t="n">
        <v>14</v>
      </c>
      <c r="B15" s="872" t="str">
        <f aca="false">VLOOKUP(Tabla3[[#This Row],[OK]],$G$2:$H$33,2,0)</f>
        <v>Dinamarca</v>
      </c>
      <c r="C15" s="873" t="s">
        <v>84</v>
      </c>
      <c r="D15" s="873" t="n">
        <v>14</v>
      </c>
      <c r="G15" s="431" t="n">
        <v>14</v>
      </c>
      <c r="H15" s="10" t="s">
        <v>235</v>
      </c>
      <c r="I15" s="431" t="str">
        <f aca="false">VLOOKUP(H15,$K$2:$L$56,2,0)</f>
        <v>🇩🇰</v>
      </c>
      <c r="K15" s="10" t="s">
        <v>304</v>
      </c>
      <c r="L15" s="10" t="s">
        <v>305</v>
      </c>
      <c r="N15" s="874"/>
      <c r="O15" s="874"/>
      <c r="P15" s="874"/>
      <c r="Q15" s="874"/>
      <c r="R15" s="874"/>
    </row>
    <row r="16" customFormat="false" ht="15" hidden="false" customHeight="true" outlineLevel="0" collapsed="false">
      <c r="A16" s="871" t="n">
        <v>15</v>
      </c>
      <c r="B16" s="872" t="str">
        <f aca="false">VLOOKUP(Tabla3[[#This Row],[OK]],$G$2:$H$33,2,0)</f>
        <v>Túnez</v>
      </c>
      <c r="C16" s="873" t="s">
        <v>84</v>
      </c>
      <c r="D16" s="873" t="n">
        <v>15</v>
      </c>
      <c r="G16" s="431" t="n">
        <v>15</v>
      </c>
      <c r="H16" s="10" t="s">
        <v>249</v>
      </c>
      <c r="I16" s="431" t="str">
        <f aca="false">VLOOKUP(H16,$K$2:$L$56,2,0)</f>
        <v>🇹🇳</v>
      </c>
      <c r="K16" s="10" t="s">
        <v>306</v>
      </c>
      <c r="L16" s="10" t="s">
        <v>307</v>
      </c>
    </row>
    <row r="17" customFormat="false" ht="15" hidden="false" customHeight="true" outlineLevel="0" collapsed="false">
      <c r="A17" s="871" t="n">
        <v>16</v>
      </c>
      <c r="B17" s="872" t="str">
        <f aca="false">VLOOKUP(Tabla3[[#This Row],[OK]],$G$2:$H$33,2,0)</f>
        <v>Australia</v>
      </c>
      <c r="C17" s="873" t="s">
        <v>84</v>
      </c>
      <c r="D17" s="873" t="n">
        <v>16</v>
      </c>
      <c r="G17" s="431" t="n">
        <v>16</v>
      </c>
      <c r="H17" s="10" t="s">
        <v>221</v>
      </c>
      <c r="I17" s="431" t="str">
        <f aca="false">VLOOKUP(H17,$K$2:$L$56,2,0)</f>
        <v>🇦🇺</v>
      </c>
      <c r="K17" s="10" t="s">
        <v>308</v>
      </c>
      <c r="L17" s="10" t="s">
        <v>309</v>
      </c>
    </row>
    <row r="18" customFormat="false" ht="15" hidden="false" customHeight="true" outlineLevel="0" collapsed="false">
      <c r="A18" s="871" t="n">
        <v>17</v>
      </c>
      <c r="B18" s="872" t="str">
        <f aca="false">VLOOKUP(Tabla3[[#This Row],[OK]],$G$2:$H$33,2,0)</f>
        <v>España</v>
      </c>
      <c r="C18" s="873" t="s">
        <v>45</v>
      </c>
      <c r="D18" s="873" t="n">
        <v>17</v>
      </c>
      <c r="G18" s="431" t="n">
        <v>17</v>
      </c>
      <c r="H18" s="10" t="s">
        <v>217</v>
      </c>
      <c r="I18" s="431" t="str">
        <f aca="false">VLOOKUP(H18,$K$2:$L$56,2,0)</f>
        <v>🇪🇸</v>
      </c>
      <c r="K18" s="10" t="s">
        <v>232</v>
      </c>
      <c r="L18" s="10" t="s">
        <v>310</v>
      </c>
    </row>
    <row r="19" customFormat="false" ht="15" hidden="false" customHeight="true" outlineLevel="0" collapsed="false">
      <c r="A19" s="871" t="n">
        <v>18</v>
      </c>
      <c r="B19" s="872" t="str">
        <f aca="false">VLOOKUP(Tabla3[[#This Row],[OK]],$G$2:$H$33,2,0)</f>
        <v>Costa Rica</v>
      </c>
      <c r="C19" s="873" t="s">
        <v>45</v>
      </c>
      <c r="D19" s="873" t="n">
        <v>18</v>
      </c>
      <c r="G19" s="431" t="n">
        <v>18</v>
      </c>
      <c r="H19" s="10" t="s">
        <v>233</v>
      </c>
      <c r="I19" s="431" t="str">
        <f aca="false">VLOOKUP(H19,$K$2:$L$56,2,0)</f>
        <v>🇨🇷</v>
      </c>
      <c r="K19" s="10" t="s">
        <v>221</v>
      </c>
      <c r="L19" s="10" t="s">
        <v>311</v>
      </c>
    </row>
    <row r="20" customFormat="false" ht="15" hidden="false" customHeight="true" outlineLevel="0" collapsed="false">
      <c r="A20" s="871" t="n">
        <v>19</v>
      </c>
      <c r="B20" s="872" t="str">
        <f aca="false">VLOOKUP(Tabla3[[#This Row],[OK]],$G$2:$H$33,2,0)</f>
        <v>Alemania</v>
      </c>
      <c r="C20" s="873" t="s">
        <v>45</v>
      </c>
      <c r="D20" s="873" t="n">
        <v>19</v>
      </c>
      <c r="G20" s="431" t="n">
        <v>19</v>
      </c>
      <c r="H20" s="10" t="s">
        <v>216</v>
      </c>
      <c r="I20" s="431" t="str">
        <f aca="false">VLOOKUP(H20,$K$2:$L$56,2,0)</f>
        <v>🇩🇪</v>
      </c>
      <c r="K20" s="10" t="s">
        <v>297</v>
      </c>
      <c r="L20" s="10" t="s">
        <v>312</v>
      </c>
    </row>
    <row r="21" customFormat="false" ht="15" hidden="false" customHeight="true" outlineLevel="0" collapsed="false">
      <c r="A21" s="871" t="n">
        <v>20</v>
      </c>
      <c r="B21" s="872" t="str">
        <f aca="false">VLOOKUP(Tabla3[[#This Row],[OK]],$G$2:$H$33,2,0)</f>
        <v>Japón</v>
      </c>
      <c r="C21" s="873" t="s">
        <v>45</v>
      </c>
      <c r="D21" s="873" t="n">
        <v>20</v>
      </c>
      <c r="G21" s="431" t="n">
        <v>20</v>
      </c>
      <c r="H21" s="10" t="s">
        <v>232</v>
      </c>
      <c r="I21" s="431" t="str">
        <f aca="false">VLOOKUP(H21,$K$2:$L$56,2,0)</f>
        <v>🇯🇵</v>
      </c>
      <c r="K21" s="10" t="s">
        <v>313</v>
      </c>
      <c r="L21" s="10" t="s">
        <v>314</v>
      </c>
    </row>
    <row r="22" customFormat="false" ht="15" hidden="false" customHeight="true" outlineLevel="0" collapsed="false">
      <c r="A22" s="871" t="n">
        <v>21</v>
      </c>
      <c r="B22" s="872" t="str">
        <f aca="false">VLOOKUP(Tabla3[[#This Row],[OK]],$G$2:$H$33,2,0)</f>
        <v>Bélgica</v>
      </c>
      <c r="C22" s="873" t="s">
        <v>85</v>
      </c>
      <c r="D22" s="873" t="n">
        <v>21</v>
      </c>
      <c r="G22" s="431" t="n">
        <v>21</v>
      </c>
      <c r="H22" s="10" t="s">
        <v>222</v>
      </c>
      <c r="I22" s="431" t="str">
        <f aca="false">VLOOKUP(H22,$K$2:$L$56,2,0)</f>
        <v>🇧🇪</v>
      </c>
      <c r="K22" s="10" t="s">
        <v>315</v>
      </c>
      <c r="L22" s="10" t="s">
        <v>316</v>
      </c>
    </row>
    <row r="23" customFormat="false" ht="15" hidden="false" customHeight="true" outlineLevel="0" collapsed="false">
      <c r="A23" s="871" t="n">
        <v>22</v>
      </c>
      <c r="B23" s="872" t="str">
        <f aca="false">VLOOKUP(Tabla3[[#This Row],[OK]],$G$2:$H$33,2,0)</f>
        <v>Canadá</v>
      </c>
      <c r="C23" s="873" t="s">
        <v>85</v>
      </c>
      <c r="D23" s="873" t="n">
        <v>22</v>
      </c>
      <c r="G23" s="431" t="n">
        <v>22</v>
      </c>
      <c r="H23" s="10" t="s">
        <v>228</v>
      </c>
      <c r="I23" s="431" t="str">
        <f aca="false">VLOOKUP(H23,$K$2:$L$56,2,0)</f>
        <v>🇨🇦</v>
      </c>
      <c r="K23" s="10" t="s">
        <v>317</v>
      </c>
      <c r="L23" s="10" t="s">
        <v>318</v>
      </c>
    </row>
    <row r="24" customFormat="false" ht="15" hidden="false" customHeight="true" outlineLevel="0" collapsed="false">
      <c r="A24" s="871" t="n">
        <v>23</v>
      </c>
      <c r="B24" s="872" t="str">
        <f aca="false">VLOOKUP(Tabla3[[#This Row],[OK]],$G$2:$H$33,2,0)</f>
        <v>Marruecos</v>
      </c>
      <c r="C24" s="873" t="s">
        <v>85</v>
      </c>
      <c r="D24" s="873" t="n">
        <v>23</v>
      </c>
      <c r="G24" s="431" t="n">
        <v>23</v>
      </c>
      <c r="H24" s="10" t="s">
        <v>247</v>
      </c>
      <c r="I24" s="431" t="str">
        <f aca="false">VLOOKUP(H24,$K$2:$L$56,2,0)</f>
        <v>🇲🇦</v>
      </c>
      <c r="K24" s="10" t="s">
        <v>222</v>
      </c>
      <c r="L24" s="10" t="s">
        <v>319</v>
      </c>
    </row>
    <row r="25" customFormat="false" ht="15" hidden="false" customHeight="true" outlineLevel="0" collapsed="false">
      <c r="A25" s="871" t="n">
        <v>24</v>
      </c>
      <c r="B25" s="872" t="str">
        <f aca="false">VLOOKUP(Tabla3[[#This Row],[OK]],$G$2:$H$33,2,0)</f>
        <v>Croacia</v>
      </c>
      <c r="C25" s="873" t="s">
        <v>85</v>
      </c>
      <c r="D25" s="873" t="n">
        <v>24</v>
      </c>
      <c r="G25" s="431" t="n">
        <v>24</v>
      </c>
      <c r="H25" s="10" t="s">
        <v>234</v>
      </c>
      <c r="I25" s="431" t="str">
        <f aca="false">VLOOKUP(H25,$K$2:$L$56,2,0)</f>
        <v>🇭🇷</v>
      </c>
      <c r="K25" s="10" t="s">
        <v>236</v>
      </c>
      <c r="L25" s="10" t="s">
        <v>320</v>
      </c>
    </row>
    <row r="26" customFormat="false" ht="15" hidden="false" customHeight="true" outlineLevel="0" collapsed="false">
      <c r="A26" s="871" t="n">
        <v>25</v>
      </c>
      <c r="B26" s="872" t="str">
        <f aca="false">VLOOKUP(Tabla3[[#This Row],[OK]],$G$2:$H$33,2,0)</f>
        <v>Brasil</v>
      </c>
      <c r="C26" s="873" t="s">
        <v>44</v>
      </c>
      <c r="D26" s="873" t="n">
        <v>25</v>
      </c>
      <c r="G26" s="431" t="n">
        <v>25</v>
      </c>
      <c r="H26" s="10" t="s">
        <v>220</v>
      </c>
      <c r="I26" s="431" t="str">
        <f aca="false">VLOOKUP(H26,$K$2:$L$56,2,0)</f>
        <v>🇧🇷</v>
      </c>
      <c r="K26" s="10" t="s">
        <v>237</v>
      </c>
      <c r="L26" s="10" t="s">
        <v>321</v>
      </c>
    </row>
    <row r="27" customFormat="false" ht="15" hidden="false" customHeight="true" outlineLevel="0" collapsed="false">
      <c r="A27" s="871" t="n">
        <v>26</v>
      </c>
      <c r="B27" s="872" t="str">
        <f aca="false">VLOOKUP(Tabla3[[#This Row],[OK]],$G$2:$H$33,2,0)</f>
        <v>Serbia</v>
      </c>
      <c r="C27" s="873" t="s">
        <v>44</v>
      </c>
      <c r="D27" s="873" t="n">
        <v>26</v>
      </c>
      <c r="G27" s="431" t="n">
        <v>26</v>
      </c>
      <c r="H27" s="10" t="s">
        <v>246</v>
      </c>
      <c r="I27" s="431" t="str">
        <f aca="false">VLOOKUP(H27,$K$2:$L$56,2,0)</f>
        <v>🇷🇸</v>
      </c>
      <c r="K27" s="10" t="s">
        <v>238</v>
      </c>
      <c r="L27" s="10" t="s">
        <v>322</v>
      </c>
    </row>
    <row r="28" customFormat="false" ht="15" hidden="false" customHeight="true" outlineLevel="0" collapsed="false">
      <c r="A28" s="871" t="n">
        <v>27</v>
      </c>
      <c r="B28" s="872" t="str">
        <f aca="false">VLOOKUP(Tabla3[[#This Row],[OK]],$G$2:$H$33,2,0)</f>
        <v>Suiza</v>
      </c>
      <c r="C28" s="873" t="s">
        <v>44</v>
      </c>
      <c r="D28" s="873" t="n">
        <v>27</v>
      </c>
      <c r="G28" s="431" t="n">
        <v>27</v>
      </c>
      <c r="H28" s="10" t="s">
        <v>245</v>
      </c>
      <c r="I28" s="431" t="str">
        <f aca="false">VLOOKUP(H28,$K$2:$L$56,2,0)</f>
        <v>🇨🇭</v>
      </c>
      <c r="K28" s="10" t="s">
        <v>323</v>
      </c>
      <c r="L28" s="10" t="s">
        <v>324</v>
      </c>
    </row>
    <row r="29" customFormat="false" ht="15" hidden="false" customHeight="true" outlineLevel="0" collapsed="false">
      <c r="A29" s="871" t="n">
        <v>28</v>
      </c>
      <c r="B29" s="872" t="str">
        <f aca="false">VLOOKUP(Tabla3[[#This Row],[OK]],$G$2:$H$33,2,0)</f>
        <v>Camerún</v>
      </c>
      <c r="C29" s="873" t="s">
        <v>44</v>
      </c>
      <c r="D29" s="873" t="n">
        <v>28</v>
      </c>
      <c r="G29" s="431" t="n">
        <v>28</v>
      </c>
      <c r="H29" s="10" t="s">
        <v>225</v>
      </c>
      <c r="I29" s="431" t="str">
        <f aca="false">VLOOKUP(H29,$K$2:$L$56,2,0)</f>
        <v>🇨🇲</v>
      </c>
      <c r="K29" s="10" t="s">
        <v>325</v>
      </c>
      <c r="L29" s="10" t="s">
        <v>326</v>
      </c>
    </row>
    <row r="30" customFormat="false" ht="15" hidden="false" customHeight="true" outlineLevel="0" collapsed="false">
      <c r="A30" s="871" t="n">
        <v>29</v>
      </c>
      <c r="B30" s="872" t="str">
        <f aca="false">VLOOKUP(Tabla3[[#This Row],[OK]],$G$2:$H$33,2,0)</f>
        <v>Portugal</v>
      </c>
      <c r="C30" s="873" t="s">
        <v>86</v>
      </c>
      <c r="D30" s="873" t="n">
        <v>29</v>
      </c>
      <c r="G30" s="431" t="n">
        <v>29</v>
      </c>
      <c r="H30" s="10" t="s">
        <v>236</v>
      </c>
      <c r="I30" s="431" t="str">
        <f aca="false">VLOOKUP(H30,$K$2:$L$56,2,0)</f>
        <v>🇵🇹</v>
      </c>
      <c r="K30" s="10" t="s">
        <v>327</v>
      </c>
      <c r="L30" s="10" t="s">
        <v>328</v>
      </c>
    </row>
    <row r="31" customFormat="false" ht="15" hidden="false" customHeight="true" outlineLevel="0" collapsed="false">
      <c r="A31" s="871" t="n">
        <v>30</v>
      </c>
      <c r="B31" s="872" t="str">
        <f aca="false">VLOOKUP(Tabla3[[#This Row],[OK]],$G$2:$H$33,2,0)</f>
        <v>Ghana</v>
      </c>
      <c r="C31" s="873" t="s">
        <v>86</v>
      </c>
      <c r="D31" s="873" t="n">
        <v>30</v>
      </c>
      <c r="G31" s="431" t="n">
        <v>30</v>
      </c>
      <c r="H31" s="10" t="s">
        <v>244</v>
      </c>
      <c r="I31" s="431" t="str">
        <f aca="false">VLOOKUP(H31,$K$2:$L$56,2,0)</f>
        <v>🇬🇭</v>
      </c>
      <c r="K31" s="10" t="s">
        <v>240</v>
      </c>
      <c r="L31" s="10" t="s">
        <v>329</v>
      </c>
    </row>
    <row r="32" customFormat="false" ht="15" hidden="false" customHeight="true" outlineLevel="0" collapsed="false">
      <c r="A32" s="871" t="n">
        <v>31</v>
      </c>
      <c r="B32" s="872" t="str">
        <f aca="false">VLOOKUP(Tabla3[[#This Row],[OK]],$G$2:$H$33,2,0)</f>
        <v>Uruguay</v>
      </c>
      <c r="C32" s="873" t="s">
        <v>86</v>
      </c>
      <c r="D32" s="873" t="n">
        <v>31</v>
      </c>
      <c r="G32" s="431" t="n">
        <v>31</v>
      </c>
      <c r="H32" s="10" t="s">
        <v>238</v>
      </c>
      <c r="I32" s="431" t="str">
        <f aca="false">VLOOKUP(H32,$K$2:$L$56,2,0)</f>
        <v>🇺🇾</v>
      </c>
      <c r="K32" s="10" t="s">
        <v>239</v>
      </c>
      <c r="L32" s="10" t="s">
        <v>330</v>
      </c>
    </row>
    <row r="33" customFormat="false" ht="15" hidden="false" customHeight="true" outlineLevel="0" collapsed="false">
      <c r="A33" s="871" t="n">
        <v>32</v>
      </c>
      <c r="B33" s="872" t="str">
        <f aca="false">VLOOKUP(Tabla3[[#This Row],[OK]],$G$2:$H$33,2,0)</f>
        <v>Corea del Sur</v>
      </c>
      <c r="C33" s="873" t="s">
        <v>86</v>
      </c>
      <c r="D33" s="873" t="n">
        <v>32</v>
      </c>
      <c r="G33" s="431" t="n">
        <v>32</v>
      </c>
      <c r="H33" s="10" t="s">
        <v>231</v>
      </c>
      <c r="I33" s="431" t="str">
        <f aca="false">VLOOKUP(H33,$K$2:$L$56,2,0)</f>
        <v>🇰🇷</v>
      </c>
      <c r="K33" s="10" t="s">
        <v>228</v>
      </c>
      <c r="L33" s="10" t="s">
        <v>331</v>
      </c>
    </row>
    <row r="34" customFormat="false" ht="15" hidden="false" customHeight="true" outlineLevel="0" collapsed="false">
      <c r="H34" s="10"/>
      <c r="K34" s="10" t="s">
        <v>233</v>
      </c>
      <c r="L34" s="10" t="s">
        <v>332</v>
      </c>
    </row>
    <row r="35" customFormat="false" ht="15" hidden="false" customHeight="true" outlineLevel="0" collapsed="false">
      <c r="K35" s="10" t="s">
        <v>333</v>
      </c>
      <c r="L35" s="10" t="s">
        <v>334</v>
      </c>
    </row>
    <row r="36" customFormat="false" ht="15" hidden="false" customHeight="true" outlineLevel="0" collapsed="false">
      <c r="K36" s="10" t="s">
        <v>335</v>
      </c>
      <c r="L36" s="10" t="s">
        <v>336</v>
      </c>
    </row>
    <row r="37" customFormat="false" ht="15" hidden="false" customHeight="true" outlineLevel="0" collapsed="false">
      <c r="K37" s="10" t="s">
        <v>337</v>
      </c>
      <c r="L37" s="10" t="s">
        <v>338</v>
      </c>
    </row>
    <row r="38" customFormat="false" ht="15" hidden="false" customHeight="true" outlineLevel="0" collapsed="false">
      <c r="K38" s="10" t="s">
        <v>339</v>
      </c>
      <c r="L38" s="10" t="s">
        <v>340</v>
      </c>
    </row>
    <row r="39" customFormat="false" ht="15" hidden="false" customHeight="true" outlineLevel="0" collapsed="false">
      <c r="K39" s="10" t="s">
        <v>246</v>
      </c>
      <c r="L39" s="10" t="s">
        <v>341</v>
      </c>
    </row>
    <row r="40" customFormat="false" ht="15" hidden="false" customHeight="true" outlineLevel="0" collapsed="false">
      <c r="K40" s="10" t="s">
        <v>342</v>
      </c>
      <c r="L40" s="10" t="s">
        <v>343</v>
      </c>
    </row>
    <row r="41" customFormat="false" ht="15" hidden="false" customHeight="true" outlineLevel="0" collapsed="false">
      <c r="H41" s="869"/>
      <c r="K41" s="10" t="s">
        <v>245</v>
      </c>
      <c r="L41" s="10" t="s">
        <v>344</v>
      </c>
    </row>
    <row r="42" customFormat="false" ht="15" hidden="false" customHeight="true" outlineLevel="0" collapsed="false">
      <c r="H42" s="869"/>
      <c r="K42" s="10" t="s">
        <v>235</v>
      </c>
      <c r="L42" s="10" t="s">
        <v>345</v>
      </c>
    </row>
    <row r="43" customFormat="false" ht="15" hidden="false" customHeight="true" outlineLevel="0" collapsed="false">
      <c r="H43" s="869"/>
      <c r="K43" s="10" t="s">
        <v>346</v>
      </c>
      <c r="L43" s="10" t="s">
        <v>347</v>
      </c>
    </row>
    <row r="44" customFormat="false" ht="15" hidden="false" customHeight="true" outlineLevel="0" collapsed="false">
      <c r="K44" s="10" t="s">
        <v>348</v>
      </c>
      <c r="L44" s="10" t="s">
        <v>349</v>
      </c>
    </row>
    <row r="45" customFormat="false" ht="15" hidden="false" customHeight="true" outlineLevel="0" collapsed="false">
      <c r="H45" s="869"/>
      <c r="K45" s="10" t="s">
        <v>234</v>
      </c>
      <c r="L45" s="10" t="s">
        <v>350</v>
      </c>
    </row>
    <row r="46" customFormat="false" ht="15" hidden="false" customHeight="true" outlineLevel="0" collapsed="false">
      <c r="H46" s="869"/>
      <c r="K46" s="10" t="s">
        <v>249</v>
      </c>
      <c r="L46" s="10" t="s">
        <v>351</v>
      </c>
    </row>
    <row r="47" customFormat="false" ht="15" hidden="false" customHeight="true" outlineLevel="0" collapsed="false">
      <c r="K47" s="10" t="s">
        <v>250</v>
      </c>
      <c r="L47" s="10" t="s">
        <v>352</v>
      </c>
    </row>
    <row r="48" customFormat="false" ht="15" hidden="false" customHeight="true" outlineLevel="0" collapsed="false">
      <c r="K48" s="10" t="s">
        <v>247</v>
      </c>
      <c r="L48" s="10" t="s">
        <v>353</v>
      </c>
    </row>
    <row r="49" customFormat="false" ht="15" hidden="false" customHeight="true" outlineLevel="0" collapsed="false">
      <c r="H49" s="869"/>
      <c r="K49" s="10" t="s">
        <v>251</v>
      </c>
      <c r="L49" s="10" t="s">
        <v>354</v>
      </c>
    </row>
    <row r="50" customFormat="false" ht="15" hidden="false" customHeight="true" outlineLevel="0" collapsed="false">
      <c r="H50" s="869"/>
      <c r="K50" s="10" t="s">
        <v>225</v>
      </c>
      <c r="L50" s="10" t="s">
        <v>355</v>
      </c>
    </row>
    <row r="51" customFormat="false" ht="15" hidden="false" customHeight="true" outlineLevel="0" collapsed="false">
      <c r="K51" s="10" t="s">
        <v>244</v>
      </c>
      <c r="L51" s="10" t="s">
        <v>356</v>
      </c>
    </row>
    <row r="52" customFormat="false" ht="15" hidden="false" customHeight="true" outlineLevel="0" collapsed="false">
      <c r="K52" s="10" t="s">
        <v>242</v>
      </c>
      <c r="L52" s="10" t="s">
        <v>357</v>
      </c>
    </row>
    <row r="53" customFormat="false" ht="15" hidden="false" customHeight="true" outlineLevel="0" collapsed="false">
      <c r="K53" s="10" t="s">
        <v>358</v>
      </c>
      <c r="L53" s="10" t="s">
        <v>359</v>
      </c>
    </row>
    <row r="54" customFormat="false" ht="15" hidden="false" customHeight="true" outlineLevel="0" collapsed="false">
      <c r="K54" s="10" t="s">
        <v>360</v>
      </c>
      <c r="L54" s="10" t="s">
        <v>361</v>
      </c>
    </row>
    <row r="55" customFormat="false" ht="15" hidden="false" customHeight="true" outlineLevel="0" collapsed="false">
      <c r="K55" s="10" t="s">
        <v>362</v>
      </c>
      <c r="L55" s="10" t="s">
        <v>363</v>
      </c>
    </row>
    <row r="56" customFormat="false" ht="15" hidden="false" customHeight="true" outlineLevel="0" collapsed="false">
      <c r="K56" s="10" t="s">
        <v>364</v>
      </c>
      <c r="L56" s="10" t="s">
        <v>365</v>
      </c>
    </row>
    <row r="58" customFormat="false" ht="15" hidden="false" customHeight="true" outlineLevel="0" collapsed="false">
      <c r="K58" s="10"/>
    </row>
    <row r="59" customFormat="false" ht="15" hidden="false" customHeight="true" outlineLevel="0" collapsed="false">
      <c r="K59" s="10"/>
    </row>
    <row r="60" customFormat="false" ht="15" hidden="false" customHeight="true" outlineLevel="0" collapsed="false">
      <c r="K60" s="10"/>
    </row>
    <row r="89" customFormat="false" ht="15" hidden="false" customHeight="true" outlineLevel="0" collapsed="false">
      <c r="M89" s="10"/>
    </row>
    <row r="90" customFormat="false" ht="15" hidden="false" customHeight="true" outlineLevel="0" collapsed="false">
      <c r="M90" s="875" t="s">
        <v>366</v>
      </c>
    </row>
    <row r="91" customFormat="false" ht="15" hidden="false" customHeight="true" outlineLevel="0" collapsed="false">
      <c r="M91" s="10"/>
    </row>
    <row r="92" customFormat="false" ht="15" hidden="false" customHeight="true" outlineLevel="0" collapsed="false">
      <c r="M92" s="876" t="s">
        <v>367</v>
      </c>
    </row>
    <row r="93" customFormat="false" ht="15" hidden="false" customHeight="true" outlineLevel="0" collapsed="false">
      <c r="M93" s="10"/>
    </row>
    <row r="94" customFormat="false" ht="15" hidden="false" customHeight="true" outlineLevel="0" collapsed="false">
      <c r="M94" s="876" t="s">
        <v>222</v>
      </c>
    </row>
    <row r="95" customFormat="false" ht="15" hidden="false" customHeight="true" outlineLevel="0" collapsed="false">
      <c r="M95" s="10"/>
    </row>
    <row r="96" customFormat="false" ht="15" hidden="false" customHeight="true" outlineLevel="0" collapsed="false">
      <c r="M96" s="876" t="s">
        <v>220</v>
      </c>
    </row>
    <row r="97" customFormat="false" ht="15" hidden="false" customHeight="true" outlineLevel="0" collapsed="false">
      <c r="M97" s="10"/>
    </row>
    <row r="98" customFormat="false" ht="15" hidden="false" customHeight="true" outlineLevel="0" collapsed="false">
      <c r="M98" s="876" t="s">
        <v>223</v>
      </c>
    </row>
    <row r="99" customFormat="false" ht="15" hidden="false" customHeight="true" outlineLevel="0" collapsed="false">
      <c r="M99" s="10"/>
    </row>
    <row r="100" customFormat="false" ht="15" hidden="false" customHeight="true" outlineLevel="0" collapsed="false">
      <c r="M100" s="876" t="s">
        <v>219</v>
      </c>
    </row>
    <row r="101" customFormat="false" ht="15" hidden="false" customHeight="true" outlineLevel="0" collapsed="false">
      <c r="M101" s="10"/>
    </row>
    <row r="102" customFormat="false" ht="15" hidden="false" customHeight="true" outlineLevel="0" collapsed="false">
      <c r="M102" s="876" t="s">
        <v>224</v>
      </c>
    </row>
    <row r="103" customFormat="false" ht="15" hidden="false" customHeight="true" outlineLevel="0" collapsed="false">
      <c r="M103" s="10"/>
    </row>
    <row r="104" customFormat="false" ht="15" hidden="false" customHeight="true" outlineLevel="0" collapsed="false">
      <c r="M104" s="876" t="s">
        <v>217</v>
      </c>
    </row>
    <row r="105" customFormat="false" ht="15" hidden="false" customHeight="true" outlineLevel="0" collapsed="false">
      <c r="M105" s="10"/>
    </row>
    <row r="106" customFormat="false" ht="15" hidden="false" customHeight="true" outlineLevel="0" collapsed="false">
      <c r="M106" s="876" t="s">
        <v>236</v>
      </c>
    </row>
  </sheetData>
  <sheetProtection algorithmName="SHA-512" hashValue="MKhFsuHMEtHogEtsjVxtdTt+knjG8kJicLxdHCse7q8s5avulU+GUahfQpj3TWqR7Er0niEJ1Ugot/JnrresAw==" saltValue="ERyzj8QHer4Th9SJLbDsBQ==" spinCount="100000" sheet="true" objects="true" scenarios="true" selectLockedCells="true" selectUnlockedCells="true"/>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7.xml><?xml version="1.0" encoding="utf-8"?>
<worksheet xmlns="http://schemas.openxmlformats.org/spreadsheetml/2006/main" xmlns:r="http://schemas.openxmlformats.org/officeDocument/2006/relationships">
  <sheetPr filterMode="false">
    <pageSetUpPr fitToPage="false"/>
  </sheetPr>
  <dimension ref="A1:N19"/>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B27" activeCellId="0" sqref="B27"/>
    </sheetView>
  </sheetViews>
  <sheetFormatPr defaultColWidth="10.72265625" defaultRowHeight="15" zeroHeight="false" outlineLevelRow="0" outlineLevelCol="0"/>
  <cols>
    <col collapsed="false" customWidth="true" hidden="false" outlineLevel="0" max="1" min="1" style="877" width="6.01"/>
    <col collapsed="false" customWidth="true" hidden="false" outlineLevel="0" max="2" min="2" style="877" width="7.42"/>
    <col collapsed="false" customWidth="false" hidden="false" outlineLevel="0" max="6" min="3" style="877" width="10.71"/>
    <col collapsed="false" customWidth="true" hidden="false" outlineLevel="0" max="7" min="7" style="877" width="39.7"/>
    <col collapsed="false" customWidth="false" hidden="false" outlineLevel="0" max="1025" min="8" style="877" width="10.71"/>
  </cols>
  <sheetData>
    <row r="1" customFormat="false" ht="15" hidden="false" customHeight="false" outlineLevel="0" collapsed="false">
      <c r="A1" s="878"/>
      <c r="B1" s="878"/>
      <c r="C1" s="879"/>
      <c r="D1" s="879"/>
      <c r="E1" s="879"/>
      <c r="F1" s="879"/>
      <c r="G1" s="879"/>
    </row>
    <row r="2" customFormat="false" ht="15" hidden="false" customHeight="false" outlineLevel="0" collapsed="false">
      <c r="A2" s="878"/>
      <c r="B2" s="880" t="s">
        <v>368</v>
      </c>
      <c r="C2" s="881"/>
      <c r="D2" s="881"/>
      <c r="E2" s="881"/>
      <c r="F2" s="881"/>
      <c r="G2" s="881"/>
    </row>
    <row r="3" customFormat="false" ht="15" hidden="false" customHeight="true" outlineLevel="0" collapsed="false">
      <c r="A3" s="878"/>
      <c r="B3" s="882" t="s">
        <v>369</v>
      </c>
      <c r="C3" s="882"/>
      <c r="D3" s="882"/>
      <c r="E3" s="882"/>
      <c r="F3" s="882"/>
      <c r="G3" s="882"/>
      <c r="I3" s="882"/>
      <c r="J3" s="882"/>
      <c r="K3" s="882"/>
      <c r="L3" s="882"/>
      <c r="M3" s="882"/>
      <c r="N3" s="882"/>
    </row>
    <row r="4" customFormat="false" ht="15" hidden="false" customHeight="false" outlineLevel="0" collapsed="false">
      <c r="A4" s="878"/>
      <c r="B4" s="882"/>
      <c r="C4" s="882"/>
      <c r="D4" s="882"/>
      <c r="E4" s="882"/>
      <c r="F4" s="882"/>
      <c r="G4" s="882"/>
      <c r="I4" s="882"/>
      <c r="J4" s="882"/>
      <c r="K4" s="882"/>
      <c r="L4" s="882"/>
      <c r="M4" s="882"/>
      <c r="N4" s="882"/>
    </row>
    <row r="5" customFormat="false" ht="15" hidden="false" customHeight="false" outlineLevel="0" collapsed="false">
      <c r="A5" s="878"/>
      <c r="B5" s="882"/>
      <c r="C5" s="882"/>
      <c r="D5" s="882"/>
      <c r="E5" s="882"/>
      <c r="F5" s="882"/>
      <c r="G5" s="882"/>
      <c r="I5" s="882"/>
      <c r="J5" s="882"/>
      <c r="K5" s="882"/>
      <c r="L5" s="882"/>
      <c r="M5" s="882"/>
      <c r="N5" s="882"/>
    </row>
    <row r="6" customFormat="false" ht="15" hidden="false" customHeight="false" outlineLevel="0" collapsed="false">
      <c r="A6" s="878"/>
      <c r="B6" s="882"/>
      <c r="C6" s="882"/>
      <c r="D6" s="882"/>
      <c r="E6" s="882"/>
      <c r="F6" s="882"/>
      <c r="G6" s="882"/>
      <c r="I6" s="882"/>
      <c r="J6" s="882"/>
      <c r="K6" s="882"/>
      <c r="L6" s="882"/>
      <c r="M6" s="882"/>
      <c r="N6" s="882"/>
    </row>
    <row r="7" customFormat="false" ht="15" hidden="false" customHeight="false" outlineLevel="0" collapsed="false">
      <c r="A7" s="878"/>
      <c r="B7" s="882"/>
      <c r="C7" s="882"/>
      <c r="D7" s="882"/>
      <c r="E7" s="882"/>
      <c r="F7" s="882"/>
      <c r="G7" s="882"/>
      <c r="I7" s="882"/>
      <c r="J7" s="882"/>
      <c r="K7" s="882"/>
      <c r="L7" s="882"/>
      <c r="M7" s="882"/>
      <c r="N7" s="882"/>
    </row>
    <row r="8" customFormat="false" ht="15" hidden="false" customHeight="false" outlineLevel="0" collapsed="false">
      <c r="A8" s="878"/>
      <c r="B8" s="882"/>
      <c r="C8" s="882"/>
      <c r="D8" s="882"/>
      <c r="E8" s="882"/>
      <c r="F8" s="882"/>
      <c r="G8" s="882"/>
      <c r="I8" s="882"/>
      <c r="J8" s="882"/>
      <c r="K8" s="882"/>
      <c r="L8" s="882"/>
      <c r="M8" s="882"/>
      <c r="N8" s="882"/>
    </row>
    <row r="9" customFormat="false" ht="15" hidden="false" customHeight="false" outlineLevel="0" collapsed="false">
      <c r="A9" s="878"/>
      <c r="B9" s="882"/>
      <c r="C9" s="882"/>
      <c r="D9" s="882"/>
      <c r="E9" s="882"/>
      <c r="F9" s="882"/>
      <c r="G9" s="882"/>
      <c r="I9" s="882"/>
      <c r="J9" s="882"/>
      <c r="K9" s="882"/>
      <c r="L9" s="882"/>
      <c r="M9" s="882"/>
      <c r="N9" s="882"/>
    </row>
    <row r="10" customFormat="false" ht="15" hidden="false" customHeight="false" outlineLevel="0" collapsed="false">
      <c r="A10" s="878"/>
      <c r="B10" s="882"/>
      <c r="C10" s="882"/>
      <c r="D10" s="882"/>
      <c r="E10" s="882"/>
      <c r="F10" s="882"/>
      <c r="G10" s="882"/>
      <c r="I10" s="882"/>
      <c r="J10" s="882"/>
      <c r="K10" s="882"/>
      <c r="L10" s="882"/>
      <c r="M10" s="882"/>
      <c r="N10" s="882"/>
    </row>
    <row r="11" customFormat="false" ht="15" hidden="false" customHeight="false" outlineLevel="0" collapsed="false">
      <c r="A11" s="878"/>
      <c r="B11" s="882"/>
      <c r="C11" s="882"/>
      <c r="D11" s="882"/>
      <c r="E11" s="882"/>
      <c r="F11" s="882"/>
      <c r="G11" s="882"/>
      <c r="I11" s="882"/>
      <c r="J11" s="882"/>
      <c r="K11" s="882"/>
      <c r="L11" s="882"/>
      <c r="M11" s="882"/>
      <c r="N11" s="882"/>
    </row>
    <row r="12" customFormat="false" ht="15" hidden="false" customHeight="false" outlineLevel="0" collapsed="false">
      <c r="A12" s="878"/>
      <c r="B12" s="882"/>
      <c r="C12" s="882"/>
      <c r="D12" s="882"/>
      <c r="E12" s="882"/>
      <c r="F12" s="882"/>
      <c r="G12" s="882"/>
      <c r="I12" s="882"/>
      <c r="J12" s="882"/>
      <c r="K12" s="882"/>
      <c r="L12" s="882"/>
      <c r="M12" s="882"/>
      <c r="N12" s="882"/>
    </row>
    <row r="13" customFormat="false" ht="15" hidden="false" customHeight="false" outlineLevel="0" collapsed="false">
      <c r="A13" s="878"/>
      <c r="B13" s="883"/>
      <c r="C13" s="883"/>
      <c r="D13" s="883"/>
      <c r="E13" s="883"/>
      <c r="F13" s="883"/>
      <c r="G13" s="883"/>
    </row>
    <row r="14" customFormat="false" ht="15" hidden="false" customHeight="false" outlineLevel="0" collapsed="false">
      <c r="A14" s="878"/>
      <c r="B14" s="884" t="s">
        <v>370</v>
      </c>
      <c r="C14" s="885" t="s">
        <v>371</v>
      </c>
      <c r="D14" s="886"/>
      <c r="E14" s="886"/>
      <c r="F14" s="883"/>
      <c r="G14" s="883"/>
    </row>
    <row r="15" customFormat="false" ht="15" hidden="false" customHeight="false" outlineLevel="0" collapsed="false">
      <c r="A15" s="878"/>
      <c r="B15" s="880" t="s">
        <v>372</v>
      </c>
      <c r="C15" s="881"/>
      <c r="D15" s="881"/>
      <c r="E15" s="881"/>
      <c r="F15" s="879"/>
      <c r="G15" s="887"/>
    </row>
    <row r="16" customFormat="false" ht="15" hidden="false" customHeight="false" outlineLevel="0" collapsed="false">
      <c r="A16" s="878"/>
      <c r="B16" s="888"/>
      <c r="C16" s="878"/>
      <c r="D16" s="878"/>
      <c r="E16" s="878"/>
      <c r="F16" s="878"/>
      <c r="G16" s="878"/>
    </row>
    <row r="17" customFormat="false" ht="15" hidden="false" customHeight="false" outlineLevel="0" collapsed="false">
      <c r="A17" s="878"/>
      <c r="B17" s="878"/>
      <c r="C17" s="878"/>
      <c r="D17" s="878"/>
      <c r="E17" s="878"/>
      <c r="F17" s="878"/>
      <c r="G17" s="878"/>
    </row>
    <row r="18" customFormat="false" ht="15" hidden="false" customHeight="false" outlineLevel="0" collapsed="false">
      <c r="A18" s="878"/>
      <c r="B18" s="888"/>
      <c r="C18" s="878"/>
      <c r="D18" s="878"/>
      <c r="E18" s="878"/>
      <c r="F18" s="878"/>
      <c r="G18" s="878"/>
    </row>
    <row r="19" customFormat="false" ht="15" hidden="false" customHeight="false" outlineLevel="0" collapsed="false">
      <c r="B19" s="2" t="s">
        <v>373</v>
      </c>
      <c r="C19" s="889"/>
      <c r="D19" s="889"/>
      <c r="E19" s="890" t="s">
        <v>374</v>
      </c>
      <c r="G19" s="2" t="s">
        <v>375</v>
      </c>
    </row>
  </sheetData>
  <sheetProtection algorithmName="SHA-512" hashValue="C/9bNFpMGhDxskfSEJVDBr90Aw0cK18Hn2Qbh2ufZBXgxk0S3uILGc0NpLqErIUSMDvu/pbK+I5IooyM/RQ8sw==" saltValue="zp504Ov69O8thGeSsElvYg==" spinCount="100000" sheet="true" objects="true" scenarios="true" selectLockedCells="true" selectUnlockedCells="true"/>
  <mergeCells count="2">
    <mergeCell ref="B3:G12"/>
    <mergeCell ref="I3:N12"/>
  </mergeCells>
  <hyperlinks>
    <hyperlink ref="C14" r:id="rId1" display="Miguel Angel Tejero"/>
    <hyperlink ref="B19" r:id="rId2" display="Video con las instrucciones"/>
    <hyperlink ref="E19" r:id="rId3" display="English version"/>
    <hyperlink ref="G19" r:id="rId4" display="Otros archivos Excel"/>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710</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2015-10-31T09:41:54Z</dcterms:created>
  <dc:creator>matejero</dc:creator>
  <dc:description/>
  <dc:language>es-GT</dc:language>
  <cp:lastModifiedBy/>
  <cp:lastPrinted>2018-12-06T18:06:35Z</cp:lastPrinted>
  <dcterms:modified xsi:type="dcterms:W3CDTF">2022-12-03T08:56:22Z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