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autoCompressPictures="0" defaultThemeVersion="124226"/>
  <mc:AlternateContent xmlns:mc="http://schemas.openxmlformats.org/markup-compatibility/2006">
    <mc:Choice Requires="x15">
      <x15ac:absPath xmlns:x15ac="http://schemas.microsoft.com/office/spreadsheetml/2010/11/ac" url="C:\Users\anmendez\Documents\backup\Quiniela Mundial 2022\"/>
    </mc:Choice>
  </mc:AlternateContent>
  <xr:revisionPtr revIDLastSave="0" documentId="13_ncr:1_{19C8659F-ABE0-49F2-A571-5FE509A9D37D}"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28830" yWindow="1770" windowWidth="28710" windowHeight="1410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81029"/>
  <fileRecoveryPr autoRecover="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3" i="32" l="1"/>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I93" i="3"/>
  <c r="N93" i="3"/>
  <c r="C149" i="31" s="1"/>
  <c r="I90" i="3"/>
  <c r="Z10" i="35" s="1"/>
  <c r="N90" i="3"/>
  <c r="Z11" i="35" s="1"/>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I99" i="3"/>
  <c r="C160" i="31" s="1"/>
  <c r="I98" i="3"/>
  <c r="C159" i="31" s="1"/>
  <c r="I97" i="3"/>
  <c r="AA23" i="35" s="1"/>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O6" i="35"/>
  <c r="O5" i="35"/>
  <c r="AR11" i="35"/>
  <c r="AS11" i="35"/>
  <c r="AR18" i="35"/>
  <c r="AS18" i="35"/>
  <c r="AR25" i="35"/>
  <c r="AS25" i="35"/>
  <c r="AR12" i="35"/>
  <c r="AS12" i="35"/>
  <c r="AR19" i="35"/>
  <c r="AS19" i="35"/>
  <c r="AR26" i="35"/>
  <c r="AS26" i="35"/>
  <c r="AR13" i="35"/>
  <c r="AS13" i="35"/>
  <c r="AR20" i="35"/>
  <c r="AS20" i="35"/>
  <c r="AR27" i="35"/>
  <c r="AS27" i="35"/>
  <c r="AR14" i="35"/>
  <c r="AS14" i="35"/>
  <c r="AR21" i="35"/>
  <c r="AS21" i="35"/>
  <c r="AR28" i="35"/>
  <c r="AS28" i="35"/>
  <c r="AR15" i="35"/>
  <c r="AS15" i="35"/>
  <c r="AR22" i="35"/>
  <c r="AS22" i="35"/>
  <c r="AR29" i="35"/>
  <c r="AS29" i="35"/>
  <c r="AS24" i="35"/>
  <c r="AS17" i="35"/>
  <c r="AS10" i="35"/>
  <c r="AR24" i="35"/>
  <c r="AR17" i="35"/>
  <c r="AR10" i="35"/>
  <c r="AR4" i="35"/>
  <c r="AS4" i="35"/>
  <c r="AR5" i="35"/>
  <c r="AS5" i="35"/>
  <c r="AR6" i="35"/>
  <c r="AS6" i="35"/>
  <c r="AR7" i="35"/>
  <c r="AS7" i="35"/>
  <c r="AR8" i="35"/>
  <c r="AS8" i="35"/>
  <c r="AS3" i="35"/>
  <c r="AR3" i="35"/>
  <c r="D25" i="35"/>
  <c r="E25" i="35"/>
  <c r="D26" i="35"/>
  <c r="E26" i="35"/>
  <c r="D27" i="35"/>
  <c r="E27" i="35"/>
  <c r="D28" i="35"/>
  <c r="E28" i="35"/>
  <c r="D29" i="35"/>
  <c r="E29" i="35"/>
  <c r="E24" i="35"/>
  <c r="D24" i="35"/>
  <c r="D18" i="35"/>
  <c r="E18" i="35"/>
  <c r="D19" i="35"/>
  <c r="E19" i="35"/>
  <c r="D20" i="35"/>
  <c r="E20" i="35"/>
  <c r="D21" i="35"/>
  <c r="E21" i="35"/>
  <c r="D22" i="35"/>
  <c r="E22" i="35"/>
  <c r="E17" i="35"/>
  <c r="D17" i="35"/>
  <c r="D11" i="35"/>
  <c r="E11" i="35"/>
  <c r="D12" i="35"/>
  <c r="E12" i="35"/>
  <c r="D13" i="35"/>
  <c r="E13" i="35"/>
  <c r="D14" i="35"/>
  <c r="E14" i="35"/>
  <c r="D15" i="35"/>
  <c r="E15" i="35"/>
  <c r="E10" i="35"/>
  <c r="D10" i="35"/>
  <c r="D4" i="35"/>
  <c r="E4" i="35"/>
  <c r="D5" i="35"/>
  <c r="E5" i="35"/>
  <c r="D6" i="35"/>
  <c r="E6" i="35"/>
  <c r="D7" i="35"/>
  <c r="E7" i="35"/>
  <c r="D8" i="35"/>
  <c r="E8" i="35"/>
  <c r="E3" i="35"/>
  <c r="D3" i="35"/>
  <c r="H26" i="32"/>
  <c r="H24" i="32"/>
  <c r="H23" i="32"/>
  <c r="H25" i="32"/>
  <c r="H22" i="32"/>
  <c r="H21" i="32"/>
  <c r="H20" i="32"/>
  <c r="H19" i="32"/>
  <c r="H18" i="32"/>
  <c r="H17" i="32"/>
  <c r="H16" i="32"/>
  <c r="H15" i="32"/>
  <c r="H14" i="32"/>
  <c r="H13" i="32"/>
  <c r="H12" i="32"/>
  <c r="H11" i="32"/>
  <c r="H10" i="32"/>
  <c r="H9" i="32"/>
  <c r="H7" i="32"/>
  <c r="H8" i="32"/>
  <c r="H6" i="32"/>
  <c r="H5" i="32"/>
  <c r="AW9" i="3"/>
  <c r="AW8" i="3"/>
  <c r="AW7" i="3"/>
  <c r="B165" i="31"/>
  <c r="C165" i="31"/>
  <c r="B166" i="31"/>
  <c r="C166" i="31"/>
  <c r="C164" i="31"/>
  <c r="B164" i="31"/>
  <c r="B160" i="31"/>
  <c r="B162" i="31"/>
  <c r="C162" i="31"/>
  <c r="B163" i="31"/>
  <c r="C163" i="31"/>
  <c r="C53" i="31"/>
  <c r="C52" i="31"/>
  <c r="C51" i="31"/>
  <c r="C50" i="31"/>
  <c r="C37" i="31"/>
  <c r="C36" i="31"/>
  <c r="C35" i="31"/>
  <c r="C34" i="31"/>
  <c r="C21" i="31"/>
  <c r="C20" i="31"/>
  <c r="C19" i="31"/>
  <c r="C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101" i="3"/>
  <c r="O102" i="3"/>
  <c r="O103" i="3"/>
  <c r="O105" i="3"/>
  <c r="O106" i="3"/>
  <c r="O107" i="3"/>
  <c r="O109" i="3"/>
  <c r="G92" i="3"/>
  <c r="F92" i="3"/>
  <c r="I11" i="3"/>
  <c r="I19" i="3"/>
  <c r="I27" i="3"/>
  <c r="I35" i="3"/>
  <c r="I43" i="3"/>
  <c r="I51" i="3"/>
  <c r="I59" i="3"/>
  <c r="K11" i="3"/>
  <c r="K19" i="3"/>
  <c r="K27" i="3"/>
  <c r="K35" i="3"/>
  <c r="K43" i="3"/>
  <c r="K51" i="3"/>
  <c r="K59" i="3"/>
  <c r="N11" i="3"/>
  <c r="N19" i="3"/>
  <c r="N27" i="3"/>
  <c r="N35" i="3"/>
  <c r="N43" i="3"/>
  <c r="N51" i="3"/>
  <c r="N59" i="3"/>
  <c r="Q60" i="3"/>
  <c r="AY60" i="3"/>
  <c r="AH60" i="3"/>
  <c r="H11" i="3"/>
  <c r="H27" i="3"/>
  <c r="H43" i="3"/>
  <c r="H59" i="3"/>
  <c r="G11" i="3"/>
  <c r="G27" i="3"/>
  <c r="G43" i="3"/>
  <c r="G59" i="3"/>
  <c r="F11" i="3"/>
  <c r="F27" i="3"/>
  <c r="F43" i="3"/>
  <c r="F59"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A39" i="3" a="1"/>
  <c r="A22" i="3" a="1"/>
  <c r="A29" i="3" a="1"/>
  <c r="A45" i="3" a="1"/>
  <c r="A8" i="3" a="1"/>
  <c r="A31" i="3" a="1"/>
  <c r="A13" i="3" a="1"/>
  <c r="A5" i="3" a="1"/>
  <c r="A63" i="3" a="1"/>
  <c r="A14" i="3" a="1"/>
  <c r="A61" i="3" a="1"/>
  <c r="A30" i="3" a="1"/>
  <c r="A46" i="3" a="1"/>
  <c r="A53" i="3" a="1"/>
  <c r="A16" i="3" a="1"/>
  <c r="A37" i="3" a="1"/>
  <c r="A6" i="3" a="1"/>
  <c r="A32" i="3" a="1"/>
  <c r="A38" i="3" a="1"/>
  <c r="A47" i="3" a="1"/>
  <c r="A7" i="3" a="1"/>
  <c r="A24" i="3" a="1"/>
  <c r="A15" i="3" a="1"/>
  <c r="A23" i="3" a="1"/>
  <c r="A54" i="3" a="1"/>
  <c r="A64" i="3" a="1"/>
  <c r="A56" i="3" a="1"/>
  <c r="A21" i="3" a="1"/>
  <c r="A55" i="3" a="1"/>
  <c r="A62" i="3" a="1"/>
  <c r="A48" i="3" a="1"/>
  <c r="A40" i="3" a="1"/>
  <c r="Z21" i="35" l="1"/>
  <c r="O87" i="3"/>
  <c r="Z24" i="35"/>
  <c r="B155" i="31"/>
  <c r="O97" i="3"/>
  <c r="C158" i="31"/>
  <c r="O93" i="3"/>
  <c r="Z20" i="35"/>
  <c r="C152" i="31"/>
  <c r="O98" i="3"/>
  <c r="O86" i="3"/>
  <c r="C144" i="31"/>
  <c r="C148" i="31"/>
  <c r="C155" i="31"/>
  <c r="O90" i="3"/>
  <c r="C145" i="31"/>
  <c r="AB25" i="35"/>
  <c r="O99" i="3"/>
  <c r="B152" i="31"/>
  <c r="A46" i="3"/>
  <c r="A39" i="3"/>
  <c r="A29" i="3"/>
  <c r="A64" i="3"/>
  <c r="A16" i="3"/>
  <c r="A54" i="3"/>
  <c r="A47" i="3"/>
  <c r="A24" i="3"/>
  <c r="A8" i="3"/>
  <c r="A38" i="3"/>
  <c r="A23" i="3"/>
  <c r="A56" i="3"/>
  <c r="A30" i="3"/>
  <c r="A61" i="3"/>
  <c r="A48" i="3"/>
  <c r="A15" i="3"/>
  <c r="A5" i="3"/>
  <c r="A32" i="3"/>
  <c r="A21" i="3"/>
  <c r="A53" i="3"/>
  <c r="A22" i="3"/>
  <c r="A63" i="3"/>
  <c r="A40" i="3"/>
  <c r="A7" i="3"/>
  <c r="A45" i="3"/>
  <c r="A14" i="3"/>
  <c r="A62" i="3"/>
  <c r="A55" i="3"/>
  <c r="A31" i="3"/>
  <c r="A6" i="3"/>
  <c r="A37" i="3"/>
  <c r="A13" i="3"/>
  <c r="AI57" i="3" l="1"/>
  <c r="I57" i="3"/>
  <c r="N52" i="3"/>
  <c r="I54" i="3"/>
  <c r="BV57" i="3"/>
  <c r="AI41" i="3"/>
  <c r="I38" i="3"/>
  <c r="N36" i="3"/>
  <c r="I40" i="3"/>
  <c r="BV41" i="3"/>
  <c r="AI24" i="3"/>
  <c r="N23" i="3"/>
  <c r="I21" i="3"/>
  <c r="N25" i="3"/>
  <c r="BV24" i="3"/>
  <c r="I4" i="3"/>
  <c r="N6" i="3"/>
  <c r="BV8" i="3"/>
  <c r="N8" i="3"/>
  <c r="AI8" i="3"/>
  <c r="AI64" i="3"/>
  <c r="N63" i="3"/>
  <c r="N64" i="3"/>
  <c r="I60" i="3"/>
  <c r="BV64" i="3"/>
  <c r="N37" i="3"/>
  <c r="N38" i="3"/>
  <c r="AI39" i="3"/>
  <c r="I41" i="3"/>
  <c r="BV39" i="3"/>
  <c r="AI23" i="3"/>
  <c r="N20" i="3"/>
  <c r="I25" i="3"/>
  <c r="N22" i="3"/>
  <c r="BV23" i="3"/>
  <c r="I7" i="3"/>
  <c r="BV9" i="3"/>
  <c r="I9" i="3"/>
  <c r="N4" i="3"/>
  <c r="AI9" i="3"/>
  <c r="I15" i="3"/>
  <c r="AI14" i="3"/>
  <c r="N16" i="3"/>
  <c r="I12" i="3"/>
  <c r="BV14" i="3"/>
  <c r="AI54" i="3"/>
  <c r="I53" i="3"/>
  <c r="I55" i="3"/>
  <c r="N57" i="3"/>
  <c r="BV54" i="3"/>
  <c r="I22" i="3"/>
  <c r="I24" i="3"/>
  <c r="N21" i="3"/>
  <c r="AI25" i="3"/>
  <c r="BV25" i="3"/>
  <c r="I37" i="3"/>
  <c r="AI38" i="3"/>
  <c r="I39" i="3"/>
  <c r="N40" i="3"/>
  <c r="BV38" i="3"/>
  <c r="I23" i="3"/>
  <c r="I20" i="3"/>
  <c r="AI22" i="3"/>
  <c r="N24" i="3"/>
  <c r="BV22" i="3"/>
  <c r="I44" i="3"/>
  <c r="N46" i="3"/>
  <c r="N49" i="3"/>
  <c r="AI48" i="3"/>
  <c r="BV48" i="3"/>
  <c r="I8" i="3"/>
  <c r="BV7" i="3"/>
  <c r="N5" i="3"/>
  <c r="N7" i="3"/>
  <c r="AI7" i="3"/>
  <c r="N29" i="3"/>
  <c r="AI33" i="3"/>
  <c r="N30" i="3"/>
  <c r="I32" i="3"/>
  <c r="BV33" i="3"/>
  <c r="I56" i="3"/>
  <c r="AI55" i="3"/>
  <c r="N53" i="3"/>
  <c r="N54" i="3"/>
  <c r="BV55" i="3"/>
  <c r="I30" i="3"/>
  <c r="I33" i="3"/>
  <c r="AI32" i="3"/>
  <c r="N28" i="3"/>
  <c r="BV32" i="3"/>
  <c r="AI6" i="3"/>
  <c r="BV6" i="3"/>
  <c r="I5" i="3"/>
  <c r="I6" i="3"/>
  <c r="N9" i="3"/>
  <c r="N13" i="3"/>
  <c r="I16" i="3"/>
  <c r="AI17" i="3"/>
  <c r="I14" i="3"/>
  <c r="BV17" i="3"/>
  <c r="I52" i="3"/>
  <c r="N55" i="3"/>
  <c r="AI56" i="3"/>
  <c r="N56" i="3"/>
  <c r="BV56" i="3"/>
  <c r="AI16" i="3"/>
  <c r="N15" i="3"/>
  <c r="N17" i="3"/>
  <c r="I13" i="3"/>
  <c r="BV16" i="3"/>
  <c r="I65" i="3"/>
  <c r="AI65" i="3"/>
  <c r="I62" i="3"/>
  <c r="N60" i="3"/>
  <c r="BV65" i="3"/>
  <c r="N61" i="3"/>
  <c r="N62" i="3"/>
  <c r="I64" i="3"/>
  <c r="AI63" i="3"/>
  <c r="BV63" i="3"/>
  <c r="I47" i="3"/>
  <c r="AI49" i="3"/>
  <c r="N44" i="3"/>
  <c r="I48" i="3"/>
  <c r="BV49" i="3"/>
  <c r="I29" i="3"/>
  <c r="AI30" i="3"/>
  <c r="I31" i="3"/>
  <c r="N33" i="3"/>
  <c r="BV30" i="3"/>
  <c r="N14" i="3"/>
  <c r="I17" i="3"/>
  <c r="AI15" i="3"/>
  <c r="N12" i="3"/>
  <c r="BV15" i="3"/>
  <c r="I63" i="3"/>
  <c r="N65" i="3"/>
  <c r="AI62" i="3"/>
  <c r="I61" i="3"/>
  <c r="BV62" i="3"/>
  <c r="AI40" i="3"/>
  <c r="N39" i="3"/>
  <c r="I36" i="3"/>
  <c r="N41" i="3"/>
  <c r="BV40" i="3"/>
  <c r="N48" i="3"/>
  <c r="I45" i="3"/>
  <c r="I46" i="3"/>
  <c r="AI46" i="3"/>
  <c r="BV46" i="3"/>
  <c r="N31" i="3"/>
  <c r="N32" i="3"/>
  <c r="AI31" i="3"/>
  <c r="I28" i="3"/>
  <c r="BV31" i="3"/>
  <c r="I49" i="3"/>
  <c r="N45" i="3"/>
  <c r="AI47" i="3"/>
  <c r="N47" i="3"/>
  <c r="BV47" i="3"/>
  <c r="M17" i="3" l="1"/>
  <c r="F15" i="35"/>
  <c r="AT7" i="35"/>
  <c r="M40" i="3"/>
  <c r="C24" i="35"/>
  <c r="J28" i="3"/>
  <c r="B12" i="31"/>
  <c r="AT6" i="35"/>
  <c r="M39" i="3"/>
  <c r="B52" i="31"/>
  <c r="AQ28" i="35"/>
  <c r="J64" i="3"/>
  <c r="AY16" i="3"/>
  <c r="AK16" i="3"/>
  <c r="AO16" i="3" a="1"/>
  <c r="AO16" i="3" s="1"/>
  <c r="AP16" i="3" a="1"/>
  <c r="AP16" i="3" s="1"/>
  <c r="AL16" i="3" a="1"/>
  <c r="AL16" i="3" s="1"/>
  <c r="AM16" i="3" a="1"/>
  <c r="AM16" i="3" s="1"/>
  <c r="AN16" i="3" a="1"/>
  <c r="AN16" i="3" s="1"/>
  <c r="C5" i="35"/>
  <c r="J6" i="3"/>
  <c r="B22" i="31"/>
  <c r="AK55" i="3"/>
  <c r="AM55" i="3" a="1"/>
  <c r="AM55" i="3" s="1"/>
  <c r="AN55" i="3" a="1"/>
  <c r="AN55" i="3" s="1"/>
  <c r="AY55" i="3"/>
  <c r="AO55" i="3" a="1"/>
  <c r="AO55" i="3" s="1"/>
  <c r="AP55" i="3" a="1"/>
  <c r="AP55" i="3" s="1"/>
  <c r="AL55" i="3" a="1"/>
  <c r="AL55" i="3" s="1"/>
  <c r="AQ6" i="35"/>
  <c r="J39" i="3"/>
  <c r="B31" i="31"/>
  <c r="AK54" i="3"/>
  <c r="AM54" i="3" a="1"/>
  <c r="AM54" i="3" s="1"/>
  <c r="AN54" i="3" a="1"/>
  <c r="AN54" i="3" s="1"/>
  <c r="AO54" i="3" a="1"/>
  <c r="AO54" i="3" s="1"/>
  <c r="AQ54" i="3" s="1"/>
  <c r="AP54" i="3" a="1"/>
  <c r="AP54" i="3" s="1"/>
  <c r="AL54" i="3" a="1"/>
  <c r="AL54" i="3" s="1"/>
  <c r="AY54" i="3"/>
  <c r="F19" i="35"/>
  <c r="M22" i="3"/>
  <c r="AT27" i="35"/>
  <c r="M63" i="3"/>
  <c r="B20" i="31"/>
  <c r="AQ24" i="35"/>
  <c r="J60" i="3"/>
  <c r="AN63" i="3" a="1"/>
  <c r="AN63" i="3" s="1"/>
  <c r="AY63" i="3"/>
  <c r="AK63" i="3"/>
  <c r="AL63" i="3" a="1"/>
  <c r="AL63" i="3" s="1"/>
  <c r="AO63" i="3" a="1"/>
  <c r="AO63" i="3" s="1"/>
  <c r="AM63" i="3" a="1"/>
  <c r="AM63" i="3" s="1"/>
  <c r="AP63" i="3" a="1"/>
  <c r="AP63" i="3" s="1"/>
  <c r="AQ18" i="35"/>
  <c r="J53" i="3"/>
  <c r="B19" i="31"/>
  <c r="AK31" i="3"/>
  <c r="AL31" i="3" a="1"/>
  <c r="AL31" i="3" s="1"/>
  <c r="AY31" i="3"/>
  <c r="AM31" i="3" a="1"/>
  <c r="AM31" i="3" s="1"/>
  <c r="AN31" i="3" a="1"/>
  <c r="AN31" i="3" s="1"/>
  <c r="AO31" i="3" a="1"/>
  <c r="AO31" i="3" s="1"/>
  <c r="AP31" i="3" a="1"/>
  <c r="AP31" i="3" s="1"/>
  <c r="AN40" i="3" a="1"/>
  <c r="AN40" i="3" s="1"/>
  <c r="AK40" i="3"/>
  <c r="AY40" i="3"/>
  <c r="AO40" i="3" a="1"/>
  <c r="AO40" i="3" s="1"/>
  <c r="AP40" i="3" a="1"/>
  <c r="AP40" i="3" s="1"/>
  <c r="AL40" i="3" a="1"/>
  <c r="AL40" i="3" s="1"/>
  <c r="AM40" i="3" a="1"/>
  <c r="AM40" i="3" s="1"/>
  <c r="M33" i="3"/>
  <c r="F29" i="35"/>
  <c r="AT26" i="35"/>
  <c r="M62" i="3"/>
  <c r="J5" i="3"/>
  <c r="C4" i="35"/>
  <c r="B7" i="31"/>
  <c r="AQ21" i="35"/>
  <c r="J56" i="3"/>
  <c r="B50" i="31"/>
  <c r="AY48" i="3"/>
  <c r="AO48" i="3" a="1"/>
  <c r="AO48" i="3" s="1"/>
  <c r="AK48" i="3"/>
  <c r="AP48" i="3" a="1"/>
  <c r="AP48" i="3" s="1"/>
  <c r="AM48" i="3" a="1"/>
  <c r="AM48" i="3" s="1"/>
  <c r="AN48" i="3" a="1"/>
  <c r="AN48" i="3" s="1"/>
  <c r="AL48" i="3" a="1"/>
  <c r="AL48" i="3" s="1"/>
  <c r="AN38" i="3" a="1"/>
  <c r="AN38" i="3" s="1"/>
  <c r="AO38" i="3" a="1"/>
  <c r="AO38" i="3" s="1"/>
  <c r="AK38" i="3"/>
  <c r="AP38" i="3" a="1"/>
  <c r="AP38" i="3" s="1"/>
  <c r="AL38" i="3" a="1"/>
  <c r="AL38" i="3" s="1"/>
  <c r="AY38" i="3"/>
  <c r="AM38" i="3" a="1"/>
  <c r="AM38" i="3" s="1"/>
  <c r="J25" i="3"/>
  <c r="B43" i="31"/>
  <c r="C22" i="35"/>
  <c r="AK64" i="3"/>
  <c r="AL64" i="3" a="1"/>
  <c r="AL64" i="3" s="1"/>
  <c r="AM64" i="3" a="1"/>
  <c r="AM64" i="3" s="1"/>
  <c r="AN64" i="3" a="1"/>
  <c r="AN64" i="3" s="1"/>
  <c r="AY64" i="3"/>
  <c r="AO64" i="3" a="1"/>
  <c r="AO64" i="3" s="1"/>
  <c r="AP64" i="3" a="1"/>
  <c r="AP64" i="3" s="1"/>
  <c r="J40" i="3"/>
  <c r="AQ7" i="35"/>
  <c r="B46" i="31"/>
  <c r="M13" i="3"/>
  <c r="F11" i="35"/>
  <c r="M53" i="3"/>
  <c r="AT18" i="35"/>
  <c r="M32" i="3"/>
  <c r="F28" i="35"/>
  <c r="C27" i="35"/>
  <c r="J31" i="3"/>
  <c r="B29" i="31"/>
  <c r="AT25" i="35"/>
  <c r="M61" i="3"/>
  <c r="M56" i="3"/>
  <c r="AT21" i="35"/>
  <c r="AT15" i="35"/>
  <c r="M49" i="3"/>
  <c r="J37" i="3"/>
  <c r="AQ4" i="35"/>
  <c r="B15" i="31"/>
  <c r="C10" i="35"/>
  <c r="J12" i="3"/>
  <c r="B8" i="31"/>
  <c r="F17" i="35"/>
  <c r="M20" i="3"/>
  <c r="AM8" i="3" a="1"/>
  <c r="AM8" i="3" s="1"/>
  <c r="AY8" i="3"/>
  <c r="AN8" i="3" a="1"/>
  <c r="AN8" i="3" s="1"/>
  <c r="AO8" i="3" a="1"/>
  <c r="AO8" i="3" s="1"/>
  <c r="AK8" i="3"/>
  <c r="AP8" i="3" a="1"/>
  <c r="AP8" i="3" s="1"/>
  <c r="AL8" i="3" a="1"/>
  <c r="AL8" i="3" s="1"/>
  <c r="AT3" i="35"/>
  <c r="M36" i="3"/>
  <c r="AT19" i="35"/>
  <c r="M54" i="3"/>
  <c r="AK24" i="3"/>
  <c r="AO24" i="3" a="1"/>
  <c r="AO24" i="3" s="1"/>
  <c r="AP24" i="3" a="1"/>
  <c r="AP24" i="3" s="1"/>
  <c r="AL24" i="3" a="1"/>
  <c r="AL24" i="3" s="1"/>
  <c r="AN24" i="3" a="1"/>
  <c r="AN24" i="3" s="1"/>
  <c r="AM24" i="3" a="1"/>
  <c r="AM24" i="3" s="1"/>
  <c r="AY24" i="3"/>
  <c r="F27" i="35"/>
  <c r="M31" i="3"/>
  <c r="B21" i="31"/>
  <c r="AQ25" i="35"/>
  <c r="J61" i="3"/>
  <c r="AK30" i="3"/>
  <c r="AM30" i="3" a="1"/>
  <c r="AM30" i="3" s="1"/>
  <c r="AY30" i="3"/>
  <c r="AL30" i="3" a="1"/>
  <c r="AL30" i="3" s="1"/>
  <c r="AN30" i="3" a="1"/>
  <c r="AN30" i="3" s="1"/>
  <c r="AO30" i="3" a="1"/>
  <c r="AO30" i="3" s="1"/>
  <c r="AP30" i="3" a="1"/>
  <c r="AP30" i="3" s="1"/>
  <c r="AM56" i="3" a="1"/>
  <c r="AM56" i="3" s="1"/>
  <c r="AK56" i="3"/>
  <c r="AN56" i="3" a="1"/>
  <c r="AN56" i="3" s="1"/>
  <c r="AO56" i="3" a="1"/>
  <c r="AO56" i="3" s="1"/>
  <c r="AP56" i="3" a="1"/>
  <c r="AP56" i="3" s="1"/>
  <c r="AY56" i="3"/>
  <c r="AL56" i="3" a="1"/>
  <c r="AL56" i="3" s="1"/>
  <c r="AL6" i="3" a="1"/>
  <c r="AL6" i="3" s="1"/>
  <c r="AM6" i="3" a="1"/>
  <c r="AM6" i="3" s="1"/>
  <c r="AN6" i="3" a="1"/>
  <c r="AN6" i="3" s="1"/>
  <c r="AO6" i="3" a="1"/>
  <c r="AO6" i="3" s="1"/>
  <c r="AP6" i="3" a="1"/>
  <c r="AP6" i="3" s="1"/>
  <c r="AK6" i="3"/>
  <c r="AY6" i="3"/>
  <c r="C28" i="35"/>
  <c r="B44" i="31"/>
  <c r="J32" i="3"/>
  <c r="M46" i="3"/>
  <c r="AT12" i="35"/>
  <c r="M16" i="3"/>
  <c r="F14" i="35"/>
  <c r="AK23" i="3"/>
  <c r="AO23" i="3" a="1"/>
  <c r="AO23" i="3" s="1"/>
  <c r="AP23" i="3" a="1"/>
  <c r="AP23" i="3" s="1"/>
  <c r="AL23" i="3" a="1"/>
  <c r="AL23" i="3" s="1"/>
  <c r="AM23" i="3" a="1"/>
  <c r="AM23" i="3" s="1"/>
  <c r="AN23" i="3" a="1"/>
  <c r="AN23" i="3" s="1"/>
  <c r="AY23" i="3"/>
  <c r="F7" i="35"/>
  <c r="M8" i="3"/>
  <c r="J38" i="3"/>
  <c r="B30" i="31"/>
  <c r="AQ5" i="35"/>
  <c r="AK62" i="3"/>
  <c r="AL62" i="3" a="1"/>
  <c r="AL62" i="3" s="1"/>
  <c r="AY62" i="3"/>
  <c r="AM62" i="3" a="1"/>
  <c r="AM62" i="3" s="1"/>
  <c r="AO62" i="3" a="1"/>
  <c r="AO62" i="3" s="1"/>
  <c r="AN62" i="3" a="1"/>
  <c r="AN62" i="3" s="1"/>
  <c r="AP62" i="3" a="1"/>
  <c r="AP62" i="3" s="1"/>
  <c r="J29" i="3"/>
  <c r="C25" i="35"/>
  <c r="B13" i="31"/>
  <c r="AT24" i="35"/>
  <c r="M60" i="3"/>
  <c r="M55" i="3"/>
  <c r="AT20" i="35"/>
  <c r="M30" i="3"/>
  <c r="F26" i="35"/>
  <c r="AQ10" i="35"/>
  <c r="J44" i="3"/>
  <c r="B16" i="31"/>
  <c r="AK25" i="3"/>
  <c r="AO25" i="3" a="1"/>
  <c r="AO25" i="3" s="1"/>
  <c r="AP25" i="3" a="1"/>
  <c r="AP25" i="3" s="1"/>
  <c r="AY25" i="3"/>
  <c r="AM25" i="3" a="1"/>
  <c r="AM25" i="3" s="1"/>
  <c r="AN25" i="3" a="1"/>
  <c r="AN25" i="3" s="1"/>
  <c r="AL25" i="3" a="1"/>
  <c r="AL25" i="3" s="1"/>
  <c r="AO14" i="3" a="1"/>
  <c r="AO14" i="3" s="1"/>
  <c r="AP14" i="3" a="1"/>
  <c r="AP14" i="3" s="1"/>
  <c r="AK14" i="3"/>
  <c r="AL14" i="3" a="1"/>
  <c r="AL14" i="3" s="1"/>
  <c r="AY14" i="3"/>
  <c r="AN14" i="3" a="1"/>
  <c r="AN14" i="3" s="1"/>
  <c r="AM14" i="3" a="1"/>
  <c r="AM14" i="3" s="1"/>
  <c r="AN41" i="3" a="1"/>
  <c r="AN41" i="3" s="1"/>
  <c r="AO41" i="3" a="1"/>
  <c r="AO41" i="3" s="1"/>
  <c r="AK41" i="3"/>
  <c r="AP41" i="3" a="1"/>
  <c r="AP41" i="3" s="1"/>
  <c r="AY41" i="3"/>
  <c r="AL41" i="3" a="1"/>
  <c r="AL41" i="3" s="1"/>
  <c r="AM41" i="3" a="1"/>
  <c r="AM41" i="3" s="1"/>
  <c r="C15" i="35"/>
  <c r="J17" i="3"/>
  <c r="B41" i="31"/>
  <c r="AQ20" i="35"/>
  <c r="B35" i="31"/>
  <c r="J55" i="3"/>
  <c r="AQ3" i="35"/>
  <c r="B14" i="31"/>
  <c r="J36" i="3"/>
  <c r="M64" i="3"/>
  <c r="AT28" i="35"/>
  <c r="AN46" i="3" a="1"/>
  <c r="AN46" i="3" s="1"/>
  <c r="AO46" i="3" a="1"/>
  <c r="AO46" i="3" s="1"/>
  <c r="AP46" i="3" a="1"/>
  <c r="AP46" i="3" s="1"/>
  <c r="AL46" i="3" a="1"/>
  <c r="AL46" i="3" s="1"/>
  <c r="AY46" i="3"/>
  <c r="AM46" i="3" a="1"/>
  <c r="AM46" i="3" s="1"/>
  <c r="AK46" i="3"/>
  <c r="M65" i="3"/>
  <c r="AT29" i="35"/>
  <c r="AQ26" i="35"/>
  <c r="B36" i="31"/>
  <c r="J62" i="3"/>
  <c r="AQ17" i="35"/>
  <c r="B18" i="31"/>
  <c r="J52" i="3"/>
  <c r="F24" i="35"/>
  <c r="M28" i="3"/>
  <c r="AK33" i="3"/>
  <c r="AL33" i="3" a="1"/>
  <c r="AL33" i="3" s="1"/>
  <c r="AM33" i="3" a="1"/>
  <c r="AM33" i="3" s="1"/>
  <c r="AN33" i="3" a="1"/>
  <c r="AN33" i="3" s="1"/>
  <c r="AO33" i="3" a="1"/>
  <c r="AO33" i="3" s="1"/>
  <c r="AY33" i="3"/>
  <c r="AP33" i="3" a="1"/>
  <c r="AP33" i="3" s="1"/>
  <c r="F18" i="35"/>
  <c r="M21" i="3"/>
  <c r="C13" i="35"/>
  <c r="J15" i="3"/>
  <c r="B25" i="31"/>
  <c r="J41" i="3"/>
  <c r="AQ8" i="35"/>
  <c r="B47" i="31"/>
  <c r="F5" i="35"/>
  <c r="M6" i="3"/>
  <c r="M9" i="3"/>
  <c r="F8" i="35"/>
  <c r="AQ12" i="35"/>
  <c r="J46" i="3"/>
  <c r="B32" i="31"/>
  <c r="B37" i="31"/>
  <c r="AQ27" i="35"/>
  <c r="J63" i="3"/>
  <c r="AQ14" i="35"/>
  <c r="J48" i="3"/>
  <c r="B48" i="31"/>
  <c r="AK65" i="3"/>
  <c r="AL65" i="3" a="1"/>
  <c r="AL65" i="3" s="1"/>
  <c r="AM65" i="3" a="1"/>
  <c r="AM65" i="3" s="1"/>
  <c r="AN65" i="3" a="1"/>
  <c r="AN65" i="3" s="1"/>
  <c r="AO65" i="3" a="1"/>
  <c r="AO65" i="3" s="1"/>
  <c r="AP65" i="3" a="1"/>
  <c r="AP65" i="3" s="1"/>
  <c r="AY65" i="3"/>
  <c r="AL32" i="3" a="1"/>
  <c r="AL32" i="3" s="1"/>
  <c r="AM32" i="3" a="1"/>
  <c r="AM32" i="3" s="1"/>
  <c r="AK32" i="3"/>
  <c r="AN32" i="3" a="1"/>
  <c r="AN32" i="3" s="1"/>
  <c r="AY32" i="3"/>
  <c r="AO32" i="3" a="1"/>
  <c r="AO32" i="3" s="1"/>
  <c r="AP32" i="3" a="1"/>
  <c r="AP32" i="3" s="1"/>
  <c r="M29" i="3"/>
  <c r="F25" i="35"/>
  <c r="F21" i="35"/>
  <c r="M24" i="3"/>
  <c r="J24" i="3"/>
  <c r="B42" i="31"/>
  <c r="C21" i="35"/>
  <c r="AL9" i="3" a="1"/>
  <c r="AL9" i="3" s="1"/>
  <c r="AM9" i="3" a="1"/>
  <c r="AM9" i="3" s="1"/>
  <c r="AK9" i="3"/>
  <c r="AN9" i="3" a="1"/>
  <c r="AN9" i="3" s="1"/>
  <c r="AY9" i="3"/>
  <c r="AO9" i="3" a="1"/>
  <c r="AO9" i="3" s="1"/>
  <c r="AP9" i="3" a="1"/>
  <c r="AP9" i="3" s="1"/>
  <c r="AN39" i="3" a="1"/>
  <c r="AN39" i="3" s="1"/>
  <c r="AO39" i="3" a="1"/>
  <c r="AO39" i="3" s="1"/>
  <c r="AP39" i="3" a="1"/>
  <c r="AP39" i="3" s="1"/>
  <c r="AL39" i="3" a="1"/>
  <c r="AL39" i="3" s="1"/>
  <c r="AM39" i="3" a="1"/>
  <c r="AM39" i="3" s="1"/>
  <c r="AK39" i="3"/>
  <c r="AY39" i="3"/>
  <c r="C3" i="35"/>
  <c r="J4" i="3"/>
  <c r="B6" i="31"/>
  <c r="AQ19" i="35"/>
  <c r="J54" i="3"/>
  <c r="B34" i="31"/>
  <c r="J49" i="3"/>
  <c r="AQ15" i="35"/>
  <c r="B49" i="31"/>
  <c r="M47" i="3"/>
  <c r="AT13" i="35"/>
  <c r="M44" i="3"/>
  <c r="AT10" i="35"/>
  <c r="J65" i="3"/>
  <c r="B53" i="31"/>
  <c r="AQ29" i="35"/>
  <c r="C12" i="35"/>
  <c r="B24" i="31"/>
  <c r="J14" i="3"/>
  <c r="AM7" i="3" a="1"/>
  <c r="AM7" i="3" s="1"/>
  <c r="AY7" i="3"/>
  <c r="AN7" i="3" a="1"/>
  <c r="AN7" i="3" s="1"/>
  <c r="AO7" i="3" a="1"/>
  <c r="AO7" i="3" s="1"/>
  <c r="AP7" i="3" a="1"/>
  <c r="AP7" i="3" s="1"/>
  <c r="AK7" i="3"/>
  <c r="AL7" i="3" a="1"/>
  <c r="AL7" i="3" s="1"/>
  <c r="AN22" i="3" a="1"/>
  <c r="AN22" i="3" s="1"/>
  <c r="AK22" i="3"/>
  <c r="AO22" i="3" a="1"/>
  <c r="AO22" i="3" s="1"/>
  <c r="AP22" i="3" a="1"/>
  <c r="AP22" i="3" s="1"/>
  <c r="AY22" i="3"/>
  <c r="AL22" i="3" a="1"/>
  <c r="AL22" i="3" s="1"/>
  <c r="AM22" i="3" a="1"/>
  <c r="AM22" i="3" s="1"/>
  <c r="J22" i="3"/>
  <c r="C19" i="35"/>
  <c r="B26" i="31"/>
  <c r="F3" i="35"/>
  <c r="M4" i="3"/>
  <c r="AT5" i="35"/>
  <c r="M38" i="3"/>
  <c r="AT17" i="35"/>
  <c r="M52" i="3"/>
  <c r="AT8" i="35"/>
  <c r="M41" i="3"/>
  <c r="C6" i="35"/>
  <c r="J7" i="3"/>
  <c r="B23" i="31"/>
  <c r="M14" i="3"/>
  <c r="F12" i="35"/>
  <c r="AQ11" i="35"/>
  <c r="J45" i="3"/>
  <c r="B17" i="31"/>
  <c r="C29" i="35"/>
  <c r="J33" i="3"/>
  <c r="B45" i="31"/>
  <c r="AN47" i="3" a="1"/>
  <c r="AN47" i="3" s="1"/>
  <c r="AK47" i="3"/>
  <c r="AO47" i="3" a="1"/>
  <c r="AO47" i="3" s="1"/>
  <c r="AP47" i="3" a="1"/>
  <c r="AP47" i="3" s="1"/>
  <c r="AL47" i="3" a="1"/>
  <c r="AL47" i="3" s="1"/>
  <c r="AY47" i="3"/>
  <c r="AM47" i="3" a="1"/>
  <c r="AM47" i="3" s="1"/>
  <c r="AT14" i="35"/>
  <c r="M48" i="3"/>
  <c r="F10" i="35"/>
  <c r="M12" i="3"/>
  <c r="AO49" i="3" a="1"/>
  <c r="AO49" i="3" s="1"/>
  <c r="AP49" i="3" a="1"/>
  <c r="AP49" i="3" s="1"/>
  <c r="AY49" i="3"/>
  <c r="AK49" i="3"/>
  <c r="AL49" i="3" a="1"/>
  <c r="AL49" i="3" s="1"/>
  <c r="AM49" i="3" a="1"/>
  <c r="AM49" i="3" s="1"/>
  <c r="AN49" i="3" a="1"/>
  <c r="AN49" i="3" s="1"/>
  <c r="AO17" i="3" a="1"/>
  <c r="AO17" i="3" s="1"/>
  <c r="AP17" i="3" a="1"/>
  <c r="AP17" i="3" s="1"/>
  <c r="AY17" i="3"/>
  <c r="AK17" i="3"/>
  <c r="AL17" i="3" a="1"/>
  <c r="AL17" i="3" s="1"/>
  <c r="AM17" i="3" a="1"/>
  <c r="AM17" i="3" s="1"/>
  <c r="AN17" i="3" a="1"/>
  <c r="AN17" i="3" s="1"/>
  <c r="C26" i="35"/>
  <c r="B28" i="31"/>
  <c r="J30" i="3"/>
  <c r="M7" i="3"/>
  <c r="F6" i="35"/>
  <c r="C17" i="35"/>
  <c r="B10" i="31"/>
  <c r="J20" i="3"/>
  <c r="J9" i="3"/>
  <c r="C8" i="35"/>
  <c r="B39" i="31"/>
  <c r="AT4" i="35"/>
  <c r="M37" i="3"/>
  <c r="F22" i="35"/>
  <c r="M25" i="3"/>
  <c r="J57" i="3"/>
  <c r="B51" i="31"/>
  <c r="AQ22" i="35"/>
  <c r="F20" i="35"/>
  <c r="M23" i="3"/>
  <c r="F13" i="35"/>
  <c r="M15" i="3"/>
  <c r="C7" i="35"/>
  <c r="J8" i="3"/>
  <c r="B38" i="31"/>
  <c r="M45" i="3"/>
  <c r="AT11" i="35"/>
  <c r="AO15" i="3" a="1"/>
  <c r="AO15" i="3" s="1"/>
  <c r="AP15" i="3" a="1"/>
  <c r="AP15" i="3" s="1"/>
  <c r="AL15" i="3" a="1"/>
  <c r="AL15" i="3" s="1"/>
  <c r="AY15" i="3"/>
  <c r="AK15" i="3"/>
  <c r="AM15" i="3" a="1"/>
  <c r="AM15" i="3" s="1"/>
  <c r="AN15" i="3" a="1"/>
  <c r="AN15" i="3" s="1"/>
  <c r="AQ13" i="35"/>
  <c r="J47" i="3"/>
  <c r="B33" i="31"/>
  <c r="J13" i="3"/>
  <c r="C11" i="35"/>
  <c r="B9" i="31"/>
  <c r="C14" i="35"/>
  <c r="J16" i="3"/>
  <c r="B40" i="31"/>
  <c r="F4" i="35"/>
  <c r="M5" i="3"/>
  <c r="C20" i="35"/>
  <c r="B27" i="31"/>
  <c r="J23" i="3"/>
  <c r="AT22" i="35"/>
  <c r="M57" i="3"/>
  <c r="J21" i="3"/>
  <c r="C18" i="35"/>
  <c r="B11" i="31"/>
  <c r="AK57" i="3"/>
  <c r="AM57" i="3" a="1"/>
  <c r="AM57" i="3" s="1"/>
  <c r="AO57" i="3" a="1"/>
  <c r="AO57" i="3" s="1"/>
  <c r="AP57" i="3" a="1"/>
  <c r="AP57" i="3" s="1"/>
  <c r="AL57" i="3" a="1"/>
  <c r="AL57" i="3" s="1"/>
  <c r="AY57" i="3"/>
  <c r="AN57" i="3" a="1"/>
  <c r="AN57" i="3" s="1"/>
  <c r="AQ22" i="3" l="1"/>
  <c r="AQ40" i="3"/>
  <c r="AJ23" i="3"/>
  <c r="AQ31" i="3"/>
  <c r="AQ38" i="3"/>
  <c r="AJ7" i="3"/>
  <c r="AQ32" i="3"/>
  <c r="AJ15" i="3"/>
  <c r="AQ17" i="3"/>
  <c r="AJ56" i="3"/>
  <c r="AQ9" i="3"/>
  <c r="AQ14" i="3"/>
  <c r="AJ24" i="3"/>
  <c r="AQ41" i="3"/>
  <c r="AJ6" i="3"/>
  <c r="AQ49" i="3"/>
  <c r="AQ39" i="3"/>
  <c r="AJ14" i="3"/>
  <c r="AQ64" i="3"/>
  <c r="AQ62" i="3"/>
  <c r="AQ15" i="3"/>
  <c r="AJ47" i="3"/>
  <c r="BD29" i="3"/>
  <c r="BD31" i="3" s="1" a="1"/>
  <c r="BD31" i="3" s="1"/>
  <c r="AJ49" i="3"/>
  <c r="AQ25" i="3"/>
  <c r="BF53" i="3"/>
  <c r="BF57" i="3" s="1" a="1"/>
  <c r="BF57" i="3" s="1"/>
  <c r="AQ48" i="3"/>
  <c r="AJ31" i="3"/>
  <c r="BE37" i="3"/>
  <c r="BE38" i="3" s="1" a="1"/>
  <c r="BE38" i="3" s="1"/>
  <c r="BG21" i="3"/>
  <c r="BG23" i="3" s="1" a="1"/>
  <c r="BG23" i="3" s="1"/>
  <c r="BF5" i="3"/>
  <c r="BF7" i="3" s="1" a="1"/>
  <c r="BF7" i="3" s="1"/>
  <c r="BE61" i="3"/>
  <c r="BE65" i="3" s="1" a="1"/>
  <c r="BE65" i="3" s="1"/>
  <c r="AQ24" i="3"/>
  <c r="AQ47" i="3"/>
  <c r="BG45" i="3"/>
  <c r="BG46" i="3" s="1" a="1"/>
  <c r="BG46" i="3" s="1"/>
  <c r="BE5" i="3"/>
  <c r="BE8" i="3" s="1" a="1"/>
  <c r="BE8" i="3" s="1"/>
  <c r="AJ39" i="3"/>
  <c r="AJ32" i="3"/>
  <c r="BD45" i="3"/>
  <c r="BD49" i="3" s="1" a="1"/>
  <c r="BD49" i="3" s="1"/>
  <c r="BD37" i="3"/>
  <c r="BD39" i="3" s="1" a="1"/>
  <c r="BD39" i="3" s="1"/>
  <c r="BF45" i="3"/>
  <c r="BF47" i="3" s="1" a="1"/>
  <c r="BF47" i="3" s="1"/>
  <c r="AJ40" i="3"/>
  <c r="AJ9" i="3"/>
  <c r="AJ22" i="3"/>
  <c r="BG61" i="3"/>
  <c r="BG64" i="3" s="1" a="1"/>
  <c r="BG64" i="3" s="1"/>
  <c r="AJ46" i="3"/>
  <c r="BD13" i="3"/>
  <c r="BD17" i="3" s="1" a="1"/>
  <c r="BD17" i="3" s="1"/>
  <c r="BE21" i="3"/>
  <c r="BE22" i="3" s="1" a="1"/>
  <c r="BE22" i="3" s="1"/>
  <c r="AQ56" i="3"/>
  <c r="AJ38" i="3"/>
  <c r="AJ33" i="3"/>
  <c r="BE29" i="3"/>
  <c r="BE30" i="3" s="1" a="1"/>
  <c r="BE30" i="3" s="1"/>
  <c r="BG53" i="3"/>
  <c r="BG56" i="3" s="1" a="1"/>
  <c r="BG56" i="3" s="1"/>
  <c r="BD21" i="3"/>
  <c r="BD24" i="3" s="1" a="1"/>
  <c r="BD24" i="3" s="1"/>
  <c r="AQ7" i="3"/>
  <c r="AJ57" i="3"/>
  <c r="AJ17" i="3"/>
  <c r="AQ65" i="3"/>
  <c r="AQ46" i="3"/>
  <c r="BD5" i="3"/>
  <c r="BD9" i="3" s="1" a="1"/>
  <c r="BD9" i="3" s="1"/>
  <c r="BF61" i="3"/>
  <c r="BF62" i="3" s="1" a="1"/>
  <c r="BF62" i="3" s="1"/>
  <c r="BF37" i="3"/>
  <c r="BF39" i="3" s="1" a="1"/>
  <c r="BF39" i="3" s="1"/>
  <c r="AJ8" i="3"/>
  <c r="AJ55" i="3"/>
  <c r="AJ16" i="3"/>
  <c r="AQ57" i="3"/>
  <c r="AJ41" i="3"/>
  <c r="BD61" i="3"/>
  <c r="BD63" i="3" s="1" a="1"/>
  <c r="BD63" i="3" s="1"/>
  <c r="BF21" i="3"/>
  <c r="BG13" i="3"/>
  <c r="BE13" i="3"/>
  <c r="BE16" i="3" s="1" a="1"/>
  <c r="BE16" i="3" s="1"/>
  <c r="BF9" i="3" a="1"/>
  <c r="BF9" i="3" s="1"/>
  <c r="BG5" i="3"/>
  <c r="BG7" i="3" s="1" a="1"/>
  <c r="BG7" i="3" s="1"/>
  <c r="AJ65" i="3"/>
  <c r="BG29" i="3"/>
  <c r="BG31" i="3" s="1" a="1"/>
  <c r="BG31" i="3" s="1"/>
  <c r="BG37" i="3"/>
  <c r="BG39" i="3" s="1" a="1"/>
  <c r="BG39" i="3" s="1"/>
  <c r="AJ25" i="3"/>
  <c r="AJ62" i="3"/>
  <c r="AQ23" i="3"/>
  <c r="AQ6" i="3"/>
  <c r="AQ30" i="3"/>
  <c r="AJ64" i="3"/>
  <c r="AJ48" i="3"/>
  <c r="AQ63" i="3"/>
  <c r="BD53" i="3"/>
  <c r="BD57" i="3" s="1" a="1"/>
  <c r="BD57" i="3" s="1"/>
  <c r="AQ55" i="3"/>
  <c r="AQ16" i="3"/>
  <c r="AQ33" i="3"/>
  <c r="AQ8" i="3"/>
  <c r="AJ63" i="3"/>
  <c r="AJ54" i="3"/>
  <c r="BE53" i="3"/>
  <c r="BE56" i="3" s="1" a="1"/>
  <c r="BE56" i="3" s="1"/>
  <c r="BE45" i="3"/>
  <c r="BE46" i="3" s="1" a="1"/>
  <c r="BE46" i="3" s="1"/>
  <c r="BF29" i="3"/>
  <c r="BF33" i="3" s="1" a="1"/>
  <c r="BF33" i="3" s="1"/>
  <c r="AJ30" i="3"/>
  <c r="BF13" i="3"/>
  <c r="BF14" i="3" s="1" a="1"/>
  <c r="BF14" i="3" s="1"/>
  <c r="BD32" i="3" l="1" a="1"/>
  <c r="BD32" i="3" s="1"/>
  <c r="BD33" i="3" a="1"/>
  <c r="BD33" i="3" s="1"/>
  <c r="BG24" i="3" a="1"/>
  <c r="BG24" i="3" s="1"/>
  <c r="BF55" i="3" a="1"/>
  <c r="BF55" i="3" s="1"/>
  <c r="BK56" i="3" s="1"/>
  <c r="BE9" i="3" a="1"/>
  <c r="BE9" i="3" s="1"/>
  <c r="BM7" i="3" s="1"/>
  <c r="BE40" i="3" a="1"/>
  <c r="BE40" i="3" s="1"/>
  <c r="BL39" i="3" s="1"/>
  <c r="BE41" i="3" a="1"/>
  <c r="BE41" i="3" s="1"/>
  <c r="BM39" i="3" s="1"/>
  <c r="BE62" i="3" a="1"/>
  <c r="BE62" i="3" s="1"/>
  <c r="BJ63" i="3" s="1"/>
  <c r="BE24" i="3" a="1"/>
  <c r="BE24" i="3" s="1"/>
  <c r="BE33" i="3" a="1"/>
  <c r="BE33" i="3" s="1"/>
  <c r="BK33" i="3" s="1"/>
  <c r="BG47" i="3" a="1"/>
  <c r="BG47" i="3" s="1"/>
  <c r="BG54" i="3" a="1"/>
  <c r="BG54" i="3" s="1"/>
  <c r="BJ57" i="3" s="1"/>
  <c r="BF6" i="3" a="1"/>
  <c r="BF6" i="3" s="1"/>
  <c r="BD47" i="3" a="1"/>
  <c r="BD47" i="3" s="1"/>
  <c r="BK46" i="3" s="1"/>
  <c r="BD16" i="3" a="1"/>
  <c r="BD16" i="3" s="1"/>
  <c r="BL14" i="3" s="1"/>
  <c r="BG22" i="3" a="1"/>
  <c r="BG22" i="3" s="1"/>
  <c r="BG55" i="3" a="1"/>
  <c r="BG55" i="3" s="1"/>
  <c r="BF54" i="3" a="1"/>
  <c r="BF54" i="3" s="1"/>
  <c r="BD40" i="3" a="1"/>
  <c r="BD40" i="3" s="1"/>
  <c r="AZ6" i="3"/>
  <c r="BD41" i="3" a="1"/>
  <c r="BD41" i="3" s="1"/>
  <c r="BG62" i="3" a="1"/>
  <c r="BG62" i="3" s="1"/>
  <c r="BE64" i="3" a="1"/>
  <c r="BE64" i="3" s="1"/>
  <c r="BF41" i="3" a="1"/>
  <c r="BF41" i="3" s="1"/>
  <c r="BD15" i="3" a="1"/>
  <c r="BD15" i="3" s="1"/>
  <c r="BD64" i="3" a="1"/>
  <c r="BD64" i="3" s="1"/>
  <c r="BJ64" i="3" s="1"/>
  <c r="BG32" i="3" a="1"/>
  <c r="BG32" i="3" s="1"/>
  <c r="BM32" i="3" s="1"/>
  <c r="BE6" i="3" a="1"/>
  <c r="BE6" i="3" s="1"/>
  <c r="BK30" i="3"/>
  <c r="BE32" i="3" a="1"/>
  <c r="BE32" i="3" s="1"/>
  <c r="BM56" i="3"/>
  <c r="BK8" i="3"/>
  <c r="BM46" i="3"/>
  <c r="BD55" i="3" a="1"/>
  <c r="BD55" i="3" s="1"/>
  <c r="BD48" i="3" a="1"/>
  <c r="BD48" i="3" s="1"/>
  <c r="BG40" i="3" a="1"/>
  <c r="BG40" i="3" s="1"/>
  <c r="BJ39" i="3"/>
  <c r="BL7" i="3"/>
  <c r="BI7" i="3" s="1"/>
  <c r="AZ16" i="3"/>
  <c r="AZ22" i="3"/>
  <c r="AZ30" i="3"/>
  <c r="BS5" i="3"/>
  <c r="BM5" i="3"/>
  <c r="AZ55" i="3"/>
  <c r="AZ57" i="3"/>
  <c r="BE57" i="3" a="1"/>
  <c r="BE57" i="3" s="1"/>
  <c r="BG48" i="3" a="1"/>
  <c r="BG48" i="3" s="1"/>
  <c r="BE49" i="3" a="1"/>
  <c r="BE49" i="3" s="1"/>
  <c r="BQ37" i="3"/>
  <c r="BK37" i="3"/>
  <c r="AZ49" i="3"/>
  <c r="BS13" i="3"/>
  <c r="BM13" i="3"/>
  <c r="AZ38" i="3"/>
  <c r="AZ54" i="3"/>
  <c r="AZ7" i="3"/>
  <c r="BF17" i="3" a="1"/>
  <c r="BF17" i="3" s="1"/>
  <c r="BI6" i="3"/>
  <c r="BR45" i="3"/>
  <c r="BL45" i="3"/>
  <c r="BQ5" i="3"/>
  <c r="BK5" i="3"/>
  <c r="BJ49" i="3"/>
  <c r="BR5" i="3"/>
  <c r="BL5" i="3"/>
  <c r="BQ53" i="3"/>
  <c r="BK53" i="3"/>
  <c r="AZ63" i="3"/>
  <c r="BR21" i="3"/>
  <c r="BL21" i="3"/>
  <c r="BS53" i="3"/>
  <c r="BM53" i="3"/>
  <c r="BP13" i="3"/>
  <c r="BJ13" i="3"/>
  <c r="BR53" i="3"/>
  <c r="BL53" i="3"/>
  <c r="BC9" i="3"/>
  <c r="AZ9" i="3"/>
  <c r="BG16" i="3" a="1"/>
  <c r="BG16" i="3" s="1"/>
  <c r="BE54" i="3" a="1"/>
  <c r="BE54" i="3" s="1"/>
  <c r="AZ62" i="3"/>
  <c r="BQ13" i="3"/>
  <c r="BK13" i="3"/>
  <c r="BE17" i="3" a="1"/>
  <c r="BE17" i="3" s="1"/>
  <c r="BP5" i="3"/>
  <c r="BJ5" i="3"/>
  <c r="BF23" i="3" a="1"/>
  <c r="BF23" i="3" s="1"/>
  <c r="AZ46" i="3"/>
  <c r="BK38" i="3"/>
  <c r="BD7" i="3" a="1"/>
  <c r="BD7" i="3" s="1"/>
  <c r="BD8" i="3" a="1"/>
  <c r="BD8" i="3" s="1"/>
  <c r="BR13" i="3"/>
  <c r="BL13" i="3"/>
  <c r="BR29" i="3"/>
  <c r="BL29" i="3"/>
  <c r="BP53" i="3"/>
  <c r="BJ53" i="3"/>
  <c r="AZ25" i="3"/>
  <c r="BC8" i="3"/>
  <c r="AZ8" i="3"/>
  <c r="AZ23" i="3"/>
  <c r="BR37" i="3"/>
  <c r="BL37" i="3"/>
  <c r="BJ31" i="3"/>
  <c r="BQ21" i="3"/>
  <c r="BK21" i="3"/>
  <c r="BS61" i="3"/>
  <c r="BM61" i="3"/>
  <c r="BG38" i="3" a="1"/>
  <c r="BG38" i="3" s="1"/>
  <c r="BD56" i="3" a="1"/>
  <c r="BD56" i="3" s="1"/>
  <c r="BF30" i="3" a="1"/>
  <c r="BF30" i="3" s="1"/>
  <c r="BL30" i="3" s="1"/>
  <c r="AZ15" i="3"/>
  <c r="BG15" i="3" a="1"/>
  <c r="BG15" i="3" s="1"/>
  <c r="AZ47" i="3"/>
  <c r="BF22" i="3" a="1"/>
  <c r="BF22" i="3" s="1"/>
  <c r="BL22" i="3" s="1"/>
  <c r="BF46" i="3" a="1"/>
  <c r="BF46" i="3" s="1"/>
  <c r="BF25" i="3" a="1"/>
  <c r="BF25" i="3" s="1"/>
  <c r="BS37" i="3"/>
  <c r="BM37" i="3"/>
  <c r="BS29" i="3"/>
  <c r="BM29" i="3"/>
  <c r="BF15" i="3" a="1"/>
  <c r="BF15" i="3" s="1"/>
  <c r="BL15" i="3" s="1"/>
  <c r="BP61" i="3"/>
  <c r="BJ61" i="3"/>
  <c r="BR61" i="3"/>
  <c r="BL61" i="3"/>
  <c r="BG6" i="3" a="1"/>
  <c r="BG6" i="3" s="1"/>
  <c r="BM6" i="3" s="1"/>
  <c r="BP21" i="3"/>
  <c r="BJ21" i="3"/>
  <c r="BD23" i="3" a="1"/>
  <c r="BD23" i="3" s="1"/>
  <c r="BJ23" i="3" s="1"/>
  <c r="BF65" i="3" a="1"/>
  <c r="BF65" i="3" s="1"/>
  <c r="BL65" i="3" s="1"/>
  <c r="AZ40" i="3"/>
  <c r="BP45" i="3"/>
  <c r="BJ45" i="3"/>
  <c r="BG63" i="3" a="1"/>
  <c r="BG63" i="3" s="1"/>
  <c r="BM63" i="3" s="1"/>
  <c r="BD25" i="3" a="1"/>
  <c r="BD25" i="3" s="1"/>
  <c r="AZ31" i="3"/>
  <c r="BP29" i="3"/>
  <c r="BJ29" i="3"/>
  <c r="BQ45" i="3"/>
  <c r="BK45" i="3"/>
  <c r="AZ48" i="3"/>
  <c r="AZ65" i="3"/>
  <c r="BF38" i="3" a="1"/>
  <c r="BF38" i="3" s="1"/>
  <c r="AZ32" i="3"/>
  <c r="AZ56" i="3"/>
  <c r="BF63" i="3" a="1"/>
  <c r="BF63" i="3" s="1"/>
  <c r="BC17" i="3"/>
  <c r="AZ17" i="3"/>
  <c r="AZ24" i="3"/>
  <c r="AZ64" i="3"/>
  <c r="BF31" i="3" a="1"/>
  <c r="BF31" i="3" s="1"/>
  <c r="BE14" i="3" a="1"/>
  <c r="BE14" i="3" s="1"/>
  <c r="BP37" i="3"/>
  <c r="BJ37" i="3"/>
  <c r="BI39" i="3"/>
  <c r="BC39" i="3"/>
  <c r="AZ39" i="3"/>
  <c r="BS45" i="3"/>
  <c r="BM45" i="3"/>
  <c r="BQ61" i="3"/>
  <c r="BK61" i="3"/>
  <c r="BS21" i="3"/>
  <c r="BM21" i="3"/>
  <c r="BC24" i="3"/>
  <c r="BK9" i="3"/>
  <c r="BI14" i="3"/>
  <c r="BQ29" i="3"/>
  <c r="BK29" i="3"/>
  <c r="BD65" i="3" a="1"/>
  <c r="BD65" i="3" s="1"/>
  <c r="BG8" i="3" a="1"/>
  <c r="BG8" i="3" s="1"/>
  <c r="BM8" i="3" s="1"/>
  <c r="BI8" i="3" s="1"/>
  <c r="BG30" i="3" a="1"/>
  <c r="BG30" i="3" s="1"/>
  <c r="BM30" i="3" s="1"/>
  <c r="BK41" i="3"/>
  <c r="AZ41" i="3"/>
  <c r="AZ14" i="3"/>
  <c r="BL57" i="3"/>
  <c r="BC33" i="3"/>
  <c r="AZ33" i="3"/>
  <c r="BG14" i="3" a="1"/>
  <c r="BG14" i="3" s="1"/>
  <c r="BM14" i="3" s="1"/>
  <c r="BE48" i="3" a="1"/>
  <c r="BE48" i="3" s="1"/>
  <c r="BK48" i="3" s="1"/>
  <c r="BF49" i="3" a="1"/>
  <c r="BF49" i="3" s="1"/>
  <c r="BE25" i="3" a="1"/>
  <c r="BE25" i="3" s="1"/>
  <c r="BK25" i="3" s="1"/>
  <c r="BJ65" i="3" l="1"/>
  <c r="BL25" i="3"/>
  <c r="BK62" i="3"/>
  <c r="BL55" i="3"/>
  <c r="BJ8" i="3"/>
  <c r="BJ16" i="3"/>
  <c r="BL23" i="3"/>
  <c r="BM31" i="3"/>
  <c r="BK40" i="3"/>
  <c r="BL31" i="3"/>
  <c r="BJ25" i="3"/>
  <c r="BC62" i="3"/>
  <c r="BM54" i="3"/>
  <c r="BK49" i="3"/>
  <c r="BK24" i="3"/>
  <c r="BL63" i="3"/>
  <c r="BI63" i="3" s="1"/>
  <c r="BC47" i="3"/>
  <c r="BJ47" i="3"/>
  <c r="BM40" i="3"/>
  <c r="BJ56" i="3"/>
  <c r="BI56" i="3" s="1"/>
  <c r="BL33" i="3"/>
  <c r="BC32" i="3"/>
  <c r="BL6" i="3"/>
  <c r="BC40" i="3"/>
  <c r="BL38" i="3"/>
  <c r="BI38" i="3" s="1"/>
  <c r="BJ41" i="3"/>
  <c r="BL46" i="3"/>
  <c r="BI46" i="3" s="1"/>
  <c r="BC64" i="3"/>
  <c r="BL62" i="3"/>
  <c r="BM38" i="3"/>
  <c r="BC41" i="3"/>
  <c r="BM47" i="3"/>
  <c r="BC55" i="3"/>
  <c r="BK57" i="3"/>
  <c r="BI57" i="3" s="1"/>
  <c r="BC56" i="3"/>
  <c r="BK14" i="3"/>
  <c r="BJ55" i="3"/>
  <c r="BJ7" i="3"/>
  <c r="BK54" i="3"/>
  <c r="BJ32" i="3"/>
  <c r="BI32" i="3" s="1"/>
  <c r="BM16" i="3"/>
  <c r="BL49" i="3"/>
  <c r="BI49" i="3" s="1"/>
  <c r="BL41" i="3"/>
  <c r="BI31" i="3"/>
  <c r="BC65" i="3"/>
  <c r="BM15" i="3"/>
  <c r="BC14" i="3"/>
  <c r="BK65" i="3"/>
  <c r="BI65" i="3" s="1"/>
  <c r="BK22" i="3"/>
  <c r="BI25" i="3"/>
  <c r="BJ9" i="3"/>
  <c r="BK6" i="3"/>
  <c r="BK32" i="3"/>
  <c r="BI30" i="3"/>
  <c r="BC46" i="3"/>
  <c r="BM22" i="3"/>
  <c r="BJ48" i="3"/>
  <c r="BQ30" i="3" a="1"/>
  <c r="BQ30" i="3" s="1"/>
  <c r="BQ32" i="3" a="1"/>
  <c r="BQ32" i="3" s="1"/>
  <c r="BQ33" i="3" a="1"/>
  <c r="BQ33" i="3" s="1"/>
  <c r="BP25" i="3" a="1"/>
  <c r="BP25" i="3" s="1"/>
  <c r="BP24" i="3" a="1"/>
  <c r="BP24" i="3" s="1"/>
  <c r="BP23" i="3" a="1"/>
  <c r="BP23" i="3" s="1"/>
  <c r="BS7" i="3" a="1"/>
  <c r="BS7" i="3" s="1"/>
  <c r="BS6" i="3" a="1"/>
  <c r="BS6" i="3" s="1"/>
  <c r="BS8" i="3" a="1"/>
  <c r="BS8" i="3" s="1"/>
  <c r="BP47" i="3" a="1"/>
  <c r="BP47" i="3" s="1"/>
  <c r="BP48" i="3" a="1"/>
  <c r="BP48" i="3" s="1"/>
  <c r="BP49" i="3" a="1"/>
  <c r="BP49" i="3" s="1"/>
  <c r="BS39" i="3" a="1"/>
  <c r="BS39" i="3" s="1"/>
  <c r="BS38" i="3" a="1"/>
  <c r="BS38" i="3" s="1"/>
  <c r="BS40" i="3" a="1"/>
  <c r="BS40" i="3" s="1"/>
  <c r="BS64" i="3" a="1"/>
  <c r="BS64" i="3" s="1"/>
  <c r="BS62" i="3" a="1"/>
  <c r="BS62" i="3" s="1"/>
  <c r="BS63" i="3" a="1"/>
  <c r="BS63" i="3" s="1"/>
  <c r="BR30" i="3" a="1"/>
  <c r="BR30" i="3" s="1"/>
  <c r="BR31" i="3" a="1"/>
  <c r="BR31" i="3" s="1"/>
  <c r="BR33" i="3" a="1"/>
  <c r="BR33" i="3" s="1"/>
  <c r="BR57" i="3" a="1"/>
  <c r="BR57" i="3" s="1"/>
  <c r="BR55" i="3" a="1"/>
  <c r="BR55" i="3" s="1"/>
  <c r="BR54" i="3" a="1"/>
  <c r="BR54" i="3" s="1"/>
  <c r="BR25" i="3" a="1"/>
  <c r="BR25" i="3" s="1"/>
  <c r="BR22" i="3" a="1"/>
  <c r="BR22" i="3" s="1"/>
  <c r="BR23" i="3" a="1"/>
  <c r="BR23" i="3" s="1"/>
  <c r="BC54" i="3"/>
  <c r="BC16" i="3"/>
  <c r="BC48" i="3"/>
  <c r="BJ17" i="3"/>
  <c r="BQ57" i="3" a="1"/>
  <c r="BQ57" i="3" s="1"/>
  <c r="BQ54" i="3" a="1"/>
  <c r="BQ54" i="3" s="1"/>
  <c r="BQ56" i="3" a="1"/>
  <c r="BQ56" i="3" s="1"/>
  <c r="BC49" i="3"/>
  <c r="BK64" i="3"/>
  <c r="BR65" i="3" a="1"/>
  <c r="BR65" i="3" s="1"/>
  <c r="BR63" i="3" a="1"/>
  <c r="BR63" i="3" s="1"/>
  <c r="BR62" i="3" a="1"/>
  <c r="BR62" i="3" s="1"/>
  <c r="BM64" i="3"/>
  <c r="BQ24" i="3" a="1"/>
  <c r="BQ24" i="3" s="1"/>
  <c r="BQ25" i="3" a="1"/>
  <c r="BQ25" i="3" s="1"/>
  <c r="BQ22" i="3" a="1"/>
  <c r="BQ22" i="3" s="1"/>
  <c r="BJ33" i="3"/>
  <c r="BI33" i="3" s="1"/>
  <c r="BR17" i="3" a="1"/>
  <c r="BR17" i="3" s="1"/>
  <c r="BR15" i="3" a="1"/>
  <c r="BR15" i="3" s="1"/>
  <c r="BR14" i="3" a="1"/>
  <c r="BR14" i="3" s="1"/>
  <c r="BP32" i="3" a="1"/>
  <c r="BP32" i="3" s="1"/>
  <c r="BP31" i="3" a="1"/>
  <c r="BP31" i="3" s="1"/>
  <c r="BP33" i="3" a="1"/>
  <c r="BP33" i="3" s="1"/>
  <c r="BL47" i="3"/>
  <c r="BC23" i="3"/>
  <c r="BR7" i="3" a="1"/>
  <c r="BR7" i="3" s="1"/>
  <c r="BO7" i="3" s="1"/>
  <c r="BR9" i="3" a="1"/>
  <c r="BR9" i="3" s="1"/>
  <c r="BR6" i="3" a="1"/>
  <c r="BR6" i="3" s="1"/>
  <c r="BC57" i="3"/>
  <c r="BS48" i="3" a="1"/>
  <c r="BS48" i="3" s="1"/>
  <c r="BS47" i="3" a="1"/>
  <c r="BS47" i="3" s="1"/>
  <c r="BS46" i="3" a="1"/>
  <c r="BS46" i="3" s="1"/>
  <c r="BP41" i="3" a="1"/>
  <c r="BP41" i="3" s="1"/>
  <c r="BP40" i="3" a="1"/>
  <c r="BP40" i="3" s="1"/>
  <c r="BP39" i="3" a="1"/>
  <c r="BP39" i="3" s="1"/>
  <c r="BC15" i="3"/>
  <c r="BP9" i="3" a="1"/>
  <c r="BP9" i="3" s="1"/>
  <c r="BP7" i="3" a="1"/>
  <c r="BP7" i="3" s="1"/>
  <c r="BP8" i="3" a="1"/>
  <c r="BP8" i="3" s="1"/>
  <c r="BC6" i="3"/>
  <c r="BC38" i="3"/>
  <c r="BQ41" i="3" a="1"/>
  <c r="BQ41" i="3" s="1"/>
  <c r="BQ38" i="3" a="1"/>
  <c r="BQ38" i="3" s="1"/>
  <c r="BQ40" i="3" a="1"/>
  <c r="BQ40" i="3" s="1"/>
  <c r="BS23" i="3" a="1"/>
  <c r="BS23" i="3" s="1"/>
  <c r="BS22" i="3" a="1"/>
  <c r="BS22" i="3" s="1"/>
  <c r="BS24" i="3" a="1"/>
  <c r="BS24" i="3" s="1"/>
  <c r="BC31" i="3"/>
  <c r="BS30" i="3" a="1"/>
  <c r="BS30" i="3" s="1"/>
  <c r="BS32" i="3" a="1"/>
  <c r="BS32" i="3" s="1"/>
  <c r="BS31" i="3" a="1"/>
  <c r="BS31" i="3" s="1"/>
  <c r="BJ15" i="3"/>
  <c r="BI15" i="3" s="1"/>
  <c r="BC25" i="3"/>
  <c r="BK17" i="3"/>
  <c r="BP15" i="3" a="1"/>
  <c r="BP15" i="3" s="1"/>
  <c r="BP16" i="3" a="1"/>
  <c r="BP16" i="3" s="1"/>
  <c r="BP17" i="3" a="1"/>
  <c r="BP17" i="3" s="1"/>
  <c r="BJ40" i="3"/>
  <c r="BI40" i="3" s="1"/>
  <c r="BM24" i="3"/>
  <c r="BC30" i="3"/>
  <c r="BQ64" i="3" a="1"/>
  <c r="BQ64" i="3" s="1"/>
  <c r="BQ65" i="3" a="1"/>
  <c r="BQ65" i="3" s="1"/>
  <c r="BQ62" i="3" a="1"/>
  <c r="BQ62" i="3" s="1"/>
  <c r="BM55" i="3"/>
  <c r="BI55" i="3" s="1"/>
  <c r="BP64" i="3" a="1"/>
  <c r="BP64" i="3" s="1"/>
  <c r="BP65" i="3" a="1"/>
  <c r="BP65" i="3" s="1"/>
  <c r="BP63" i="3" a="1"/>
  <c r="BP63" i="3" s="1"/>
  <c r="BR41" i="3" a="1"/>
  <c r="BR41" i="3" s="1"/>
  <c r="BR38" i="3" a="1"/>
  <c r="BR38" i="3" s="1"/>
  <c r="BR39" i="3" a="1"/>
  <c r="BR39" i="3" s="1"/>
  <c r="BM23" i="3"/>
  <c r="BI23" i="3" s="1"/>
  <c r="BC63" i="3"/>
  <c r="BQ8" i="3" a="1"/>
  <c r="BQ8" i="3" s="1"/>
  <c r="BQ6" i="3" a="1"/>
  <c r="BQ6" i="3" s="1"/>
  <c r="BO6" i="3" s="1"/>
  <c r="BQ9" i="3" a="1"/>
  <c r="BQ9" i="3" s="1"/>
  <c r="BL17" i="3"/>
  <c r="BM48" i="3"/>
  <c r="BK16" i="3"/>
  <c r="BI16" i="3" s="1"/>
  <c r="BP56" i="3" a="1"/>
  <c r="BP56" i="3" s="1"/>
  <c r="BP55" i="3" a="1"/>
  <c r="BP55" i="3" s="1"/>
  <c r="BP57" i="3" a="1"/>
  <c r="BP57" i="3" s="1"/>
  <c r="BQ16" i="3" a="1"/>
  <c r="BQ16" i="3" s="1"/>
  <c r="BQ14" i="3" a="1"/>
  <c r="BQ14" i="3" s="1"/>
  <c r="BQ17" i="3" a="1"/>
  <c r="BQ17" i="3" s="1"/>
  <c r="BL9" i="3"/>
  <c r="BI9" i="3" s="1"/>
  <c r="BC22" i="3"/>
  <c r="BM62" i="3"/>
  <c r="BQ49" i="3" a="1"/>
  <c r="BQ49" i="3" s="1"/>
  <c r="BQ48" i="3" a="1"/>
  <c r="BQ48" i="3" s="1"/>
  <c r="BQ46" i="3" a="1"/>
  <c r="BQ46" i="3" s="1"/>
  <c r="BC7" i="3"/>
  <c r="BL54" i="3"/>
  <c r="BI54" i="3" s="1"/>
  <c r="BS55" i="3" a="1"/>
  <c r="BS55" i="3" s="1"/>
  <c r="BS56" i="3" a="1"/>
  <c r="BS56" i="3" s="1"/>
  <c r="BS54" i="3" a="1"/>
  <c r="BS54" i="3" s="1"/>
  <c r="BR49" i="3" a="1"/>
  <c r="BR49" i="3" s="1"/>
  <c r="BR47" i="3" a="1"/>
  <c r="BR47" i="3" s="1"/>
  <c r="BR46" i="3" a="1"/>
  <c r="BR46" i="3" s="1"/>
  <c r="BS14" i="3" a="1"/>
  <c r="BS14" i="3" s="1"/>
  <c r="BS15" i="3" a="1"/>
  <c r="BS15" i="3" s="1"/>
  <c r="BS16" i="3" a="1"/>
  <c r="BS16" i="3" s="1"/>
  <c r="BJ24" i="3"/>
  <c r="BB63" i="3" l="1"/>
  <c r="BB57" i="3"/>
  <c r="BB33" i="3"/>
  <c r="BI47" i="3"/>
  <c r="BB38" i="3"/>
  <c r="BB17" i="3"/>
  <c r="BI62" i="3"/>
  <c r="BO33" i="3"/>
  <c r="BB7" i="3"/>
  <c r="BB47" i="3"/>
  <c r="BB15" i="3"/>
  <c r="BO47" i="3"/>
  <c r="BI41" i="3"/>
  <c r="BH39" i="3" s="1"/>
  <c r="BI48" i="3"/>
  <c r="BH33" i="3"/>
  <c r="BB9" i="3"/>
  <c r="BO56" i="3"/>
  <c r="BB22" i="3"/>
  <c r="BO62" i="3"/>
  <c r="BB55" i="3"/>
  <c r="BO39" i="3"/>
  <c r="BO57" i="3"/>
  <c r="BO24" i="3"/>
  <c r="BB41" i="3"/>
  <c r="BB48" i="3"/>
  <c r="BI22" i="3"/>
  <c r="BO41" i="3"/>
  <c r="BB56" i="3"/>
  <c r="BO32" i="3"/>
  <c r="BO38" i="3"/>
  <c r="BB64" i="3"/>
  <c r="BB30" i="3"/>
  <c r="BH9" i="3"/>
  <c r="BH8" i="3"/>
  <c r="BH6" i="3"/>
  <c r="BH7" i="3"/>
  <c r="BH57" i="3"/>
  <c r="BH55" i="3"/>
  <c r="BH56" i="3"/>
  <c r="BB23" i="3"/>
  <c r="BO15" i="3"/>
  <c r="BB24" i="3"/>
  <c r="BB62" i="3"/>
  <c r="BO17" i="3"/>
  <c r="BI17" i="3"/>
  <c r="BH17" i="3" s="1"/>
  <c r="BO54" i="3"/>
  <c r="BB46" i="3"/>
  <c r="BO31" i="3"/>
  <c r="BO30" i="3"/>
  <c r="BB6" i="3"/>
  <c r="BO22" i="3"/>
  <c r="BB49" i="3"/>
  <c r="BB16" i="3"/>
  <c r="BB39" i="3"/>
  <c r="BO14" i="3"/>
  <c r="BH54" i="3"/>
  <c r="BB25" i="3"/>
  <c r="BB31" i="3"/>
  <c r="BB54" i="3"/>
  <c r="BH32" i="3"/>
  <c r="BB32" i="3"/>
  <c r="BO9" i="3"/>
  <c r="BI64" i="3"/>
  <c r="BO23" i="3"/>
  <c r="BO64" i="3"/>
  <c r="BO8" i="3"/>
  <c r="BO16" i="3"/>
  <c r="BO46" i="3"/>
  <c r="BO65" i="3"/>
  <c r="BB40" i="3"/>
  <c r="BO48" i="3"/>
  <c r="BO40" i="3"/>
  <c r="BO63" i="3"/>
  <c r="BB14" i="3"/>
  <c r="BH30" i="3"/>
  <c r="BO55" i="3"/>
  <c r="BB8" i="3"/>
  <c r="BO25" i="3"/>
  <c r="BH31" i="3"/>
  <c r="BI24" i="3"/>
  <c r="BO49" i="3"/>
  <c r="BB65" i="3"/>
  <c r="BH62" i="3" l="1"/>
  <c r="BH24" i="3"/>
  <c r="BH48" i="3"/>
  <c r="BH64" i="3"/>
  <c r="BH41" i="3"/>
  <c r="BH38" i="3"/>
  <c r="BH40" i="3"/>
  <c r="BH46" i="3"/>
  <c r="BH49" i="3"/>
  <c r="BH47" i="3"/>
  <c r="BN63" i="3"/>
  <c r="BN55" i="3"/>
  <c r="BA55" i="3" s="1"/>
  <c r="AR55" i="3" s="1"/>
  <c r="BN47" i="3"/>
  <c r="BN32" i="3"/>
  <c r="BA32" i="3" s="1"/>
  <c r="AR32" i="3" s="1"/>
  <c r="BN57" i="3"/>
  <c r="BA57" i="3" s="1"/>
  <c r="AR57" i="3" s="1"/>
  <c r="BN17" i="3"/>
  <c r="BA17" i="3" s="1"/>
  <c r="AR17" i="3" s="1"/>
  <c r="BN25" i="3"/>
  <c r="BN9" i="3"/>
  <c r="BA9" i="3" s="1"/>
  <c r="AR9" i="3" s="1"/>
  <c r="BN41" i="3"/>
  <c r="BH65" i="3"/>
  <c r="BN56" i="3"/>
  <c r="BA56" i="3" s="1"/>
  <c r="AR56" i="3" s="1"/>
  <c r="BN30" i="3"/>
  <c r="BA30" i="3" s="1"/>
  <c r="AR30" i="3" s="1"/>
  <c r="BH14" i="3"/>
  <c r="BH15" i="3"/>
  <c r="BH63" i="3"/>
  <c r="BH16" i="3"/>
  <c r="BN40" i="3"/>
  <c r="BN48" i="3"/>
  <c r="BN33" i="3"/>
  <c r="BA33" i="3" s="1"/>
  <c r="AR33" i="3" s="1"/>
  <c r="BH25" i="3"/>
  <c r="BN8" i="3"/>
  <c r="BA8" i="3" s="1"/>
  <c r="AR8" i="3" s="1"/>
  <c r="BN38" i="3"/>
  <c r="BH22" i="3"/>
  <c r="BN64" i="3"/>
  <c r="BH23" i="3"/>
  <c r="BN24" i="3"/>
  <c r="BA24" i="3" s="1"/>
  <c r="AR24" i="3" s="1"/>
  <c r="BN23" i="3"/>
  <c r="BN31" i="3"/>
  <c r="BA31" i="3" s="1"/>
  <c r="AR31" i="3" s="1"/>
  <c r="BN62" i="3"/>
  <c r="BA62" i="3" s="1"/>
  <c r="AR62" i="3" s="1"/>
  <c r="BN22" i="3"/>
  <c r="BN6" i="3"/>
  <c r="BA6" i="3" s="1"/>
  <c r="AR6" i="3" s="1"/>
  <c r="BN65" i="3"/>
  <c r="BN54" i="3"/>
  <c r="BA54" i="3" s="1"/>
  <c r="AR54" i="3" s="1"/>
  <c r="BN39" i="3"/>
  <c r="BA39" i="3" s="1"/>
  <c r="AR39" i="3" s="1"/>
  <c r="BN49" i="3"/>
  <c r="BN14" i="3"/>
  <c r="BN46" i="3"/>
  <c r="BN7" i="3"/>
  <c r="BA7" i="3" s="1"/>
  <c r="AR7" i="3" s="1"/>
  <c r="BN16" i="3"/>
  <c r="BN15" i="3"/>
  <c r="BA49" i="3" l="1"/>
  <c r="AR49" i="3" s="1"/>
  <c r="BW49" i="3" s="1"/>
  <c r="BA46" i="3"/>
  <c r="AR46" i="3" s="1"/>
  <c r="BW46" i="3" s="1"/>
  <c r="BA48" i="3"/>
  <c r="AR48" i="3" s="1"/>
  <c r="BW48" i="3" s="1"/>
  <c r="BA14" i="3"/>
  <c r="AR14" i="3" s="1"/>
  <c r="BW14" i="3" s="1"/>
  <c r="BA64" i="3"/>
  <c r="AR64" i="3" s="1"/>
  <c r="BW64" i="3" s="1"/>
  <c r="BW62" i="3"/>
  <c r="BW55" i="3"/>
  <c r="AH55" i="3"/>
  <c r="AS55" i="3" s="1"/>
  <c r="AH56" i="3"/>
  <c r="AS56" i="3" s="1"/>
  <c r="BW54" i="3"/>
  <c r="AH54" i="3"/>
  <c r="BW56" i="3"/>
  <c r="BW57" i="3"/>
  <c r="AH57" i="3"/>
  <c r="AS57" i="3" s="1"/>
  <c r="BA47" i="3"/>
  <c r="AR47" i="3" s="1"/>
  <c r="BA40" i="3"/>
  <c r="AR40" i="3" s="1"/>
  <c r="BW40" i="3" s="1"/>
  <c r="BA41" i="3"/>
  <c r="AR41" i="3" s="1"/>
  <c r="BW41" i="3" s="1"/>
  <c r="BW39" i="3"/>
  <c r="BA15" i="3"/>
  <c r="AR15" i="3" s="1"/>
  <c r="BW15" i="3" s="1"/>
  <c r="BA38" i="3"/>
  <c r="AR38" i="3" s="1"/>
  <c r="BA16" i="3"/>
  <c r="AR16" i="3" s="1"/>
  <c r="BW32" i="3"/>
  <c r="AH32" i="3"/>
  <c r="AS32" i="3" s="1"/>
  <c r="BW31" i="3"/>
  <c r="AH31" i="3"/>
  <c r="AS31" i="3" s="1"/>
  <c r="BW33" i="3"/>
  <c r="AH33" i="3"/>
  <c r="AS33" i="3" s="1"/>
  <c r="BW30" i="3"/>
  <c r="AH30" i="3"/>
  <c r="BA25" i="3"/>
  <c r="AR25" i="3" s="1"/>
  <c r="BW25" i="3" s="1"/>
  <c r="BA65" i="3"/>
  <c r="AR65" i="3" s="1"/>
  <c r="BW24" i="3"/>
  <c r="BA63" i="3"/>
  <c r="AR63" i="3" s="1"/>
  <c r="BW17" i="3"/>
  <c r="BA23" i="3"/>
  <c r="AR23" i="3" s="1"/>
  <c r="BW6" i="3"/>
  <c r="AH6" i="3"/>
  <c r="AH9" i="3"/>
  <c r="AS9" i="3" s="1"/>
  <c r="BW9" i="3"/>
  <c r="AH8" i="3"/>
  <c r="AS8" i="3" s="1"/>
  <c r="BW8" i="3"/>
  <c r="BW7" i="3"/>
  <c r="AH7" i="3"/>
  <c r="AS7" i="3" s="1"/>
  <c r="BA22" i="3"/>
  <c r="AR22" i="3" s="1"/>
  <c r="AH48" i="3" l="1"/>
  <c r="AS48" i="3" s="1"/>
  <c r="BU57" i="3"/>
  <c r="BW63" i="3"/>
  <c r="AH63" i="3"/>
  <c r="AS63" i="3" s="1"/>
  <c r="BW65" i="3"/>
  <c r="AH65" i="3"/>
  <c r="AS65" i="3" s="1"/>
  <c r="AH62" i="3"/>
  <c r="AH64" i="3"/>
  <c r="AS64" i="3" s="1"/>
  <c r="AH16" i="3"/>
  <c r="AS16" i="3" s="1"/>
  <c r="BU56" i="3"/>
  <c r="BX57" i="3"/>
  <c r="BY57" i="3" s="1"/>
  <c r="BX54" i="3"/>
  <c r="BY54" i="3" s="1"/>
  <c r="BX55" i="3"/>
  <c r="BY55" i="3" s="1"/>
  <c r="CB56" i="3"/>
  <c r="AS54" i="3"/>
  <c r="CB57" i="3"/>
  <c r="CB54" i="3"/>
  <c r="CB55" i="3"/>
  <c r="BX56" i="3"/>
  <c r="BY56" i="3" s="1"/>
  <c r="BU54" i="3"/>
  <c r="BU55" i="3"/>
  <c r="AH14" i="3"/>
  <c r="BX14" i="3" s="1"/>
  <c r="BY14" i="3" s="1"/>
  <c r="AH46" i="3"/>
  <c r="AH49" i="3"/>
  <c r="AS49" i="3" s="1"/>
  <c r="AH39" i="3"/>
  <c r="AS39" i="3" s="1"/>
  <c r="AH41" i="3"/>
  <c r="AS41" i="3" s="1"/>
  <c r="BW47" i="3"/>
  <c r="BU47" i="3" s="1"/>
  <c r="AH47" i="3"/>
  <c r="AS47" i="3" s="1"/>
  <c r="AH15" i="3"/>
  <c r="AS15" i="3" s="1"/>
  <c r="BU30" i="3"/>
  <c r="AH40" i="3"/>
  <c r="AS40" i="3" s="1"/>
  <c r="AH38" i="3"/>
  <c r="BW38" i="3"/>
  <c r="BU38" i="3" s="1"/>
  <c r="BW16" i="3"/>
  <c r="BU16" i="3" s="1"/>
  <c r="AH17" i="3"/>
  <c r="AS17" i="3" s="1"/>
  <c r="BU32" i="3"/>
  <c r="BX31" i="3"/>
  <c r="BY31" i="3" s="1"/>
  <c r="BX32" i="3"/>
  <c r="BY32" i="3" s="1"/>
  <c r="BX33" i="3"/>
  <c r="BY33" i="3" s="1"/>
  <c r="BX30" i="3"/>
  <c r="BY30" i="3" s="1"/>
  <c r="CB32" i="3"/>
  <c r="CB33" i="3"/>
  <c r="CB31" i="3"/>
  <c r="AS30" i="3"/>
  <c r="CB30" i="3"/>
  <c r="BU33" i="3"/>
  <c r="BU31" i="3"/>
  <c r="AH24" i="3"/>
  <c r="AS24" i="3" s="1"/>
  <c r="BW22" i="3"/>
  <c r="AH22" i="3"/>
  <c r="AH25" i="3"/>
  <c r="AS25" i="3" s="1"/>
  <c r="BW23" i="3"/>
  <c r="AH23" i="3"/>
  <c r="AS23" i="3" s="1"/>
  <c r="BU7" i="3"/>
  <c r="BU8" i="3"/>
  <c r="BU9" i="3"/>
  <c r="BX6" i="3"/>
  <c r="BY6" i="3" s="1"/>
  <c r="CB7" i="3"/>
  <c r="BX9" i="3"/>
  <c r="BY9" i="3" s="1"/>
  <c r="BX7" i="3"/>
  <c r="BY7" i="3" s="1"/>
  <c r="BX8" i="3"/>
  <c r="BY8" i="3" s="1"/>
  <c r="CB8" i="3"/>
  <c r="CB6" i="3"/>
  <c r="CB9" i="3"/>
  <c r="AS6" i="3"/>
  <c r="BU6" i="3"/>
  <c r="BU64" i="3" l="1"/>
  <c r="BU65" i="3"/>
  <c r="BU62" i="3"/>
  <c r="AS14" i="3"/>
  <c r="CB14" i="3"/>
  <c r="CE14" i="3" s="1"/>
  <c r="BU17" i="3"/>
  <c r="BX64" i="3"/>
  <c r="BY64" i="3" s="1"/>
  <c r="BX65" i="3"/>
  <c r="BY65" i="3" s="1"/>
  <c r="CB63" i="3"/>
  <c r="CB64" i="3"/>
  <c r="BX63" i="3"/>
  <c r="BY63" i="3" s="1"/>
  <c r="CB65" i="3"/>
  <c r="CB62" i="3"/>
  <c r="AS62" i="3"/>
  <c r="BX62" i="3"/>
  <c r="BY62" i="3" s="1"/>
  <c r="BU63" i="3"/>
  <c r="CD57" i="3"/>
  <c r="AA57" i="3"/>
  <c r="AB57" i="3" s="1"/>
  <c r="CF55" i="3"/>
  <c r="CC55" i="3"/>
  <c r="CE55" i="3"/>
  <c r="CF54" i="3"/>
  <c r="CE54" i="3"/>
  <c r="CC54" i="3"/>
  <c r="CC57" i="3"/>
  <c r="CF57" i="3"/>
  <c r="CE57" i="3"/>
  <c r="CC56" i="3"/>
  <c r="CF56" i="3"/>
  <c r="CE56" i="3"/>
  <c r="CD56" i="3"/>
  <c r="AA56" i="3"/>
  <c r="AB56" i="3" s="1"/>
  <c r="AA54" i="3"/>
  <c r="AA55" i="3"/>
  <c r="AB55" i="3" s="1"/>
  <c r="CD54" i="3"/>
  <c r="CD55" i="3"/>
  <c r="BU39" i="3"/>
  <c r="BU41" i="3"/>
  <c r="BX16" i="3"/>
  <c r="BY16" i="3" s="1"/>
  <c r="BX15" i="3"/>
  <c r="BY15" i="3" s="1"/>
  <c r="CB15" i="3"/>
  <c r="CE15" i="3" s="1"/>
  <c r="CB16" i="3"/>
  <c r="CC16" i="3" s="1"/>
  <c r="BU49" i="3"/>
  <c r="BU48" i="3"/>
  <c r="BU46" i="3"/>
  <c r="AS46" i="3"/>
  <c r="CB47" i="3"/>
  <c r="BX49" i="3"/>
  <c r="BY49" i="3" s="1"/>
  <c r="BX47" i="3"/>
  <c r="BY47" i="3" s="1"/>
  <c r="BX46" i="3"/>
  <c r="BY46" i="3" s="1"/>
  <c r="BX48" i="3"/>
  <c r="BY48" i="3" s="1"/>
  <c r="CB46" i="3"/>
  <c r="CB48" i="3"/>
  <c r="CB49" i="3"/>
  <c r="BU15" i="3"/>
  <c r="BU14" i="3"/>
  <c r="BX17" i="3"/>
  <c r="BY17" i="3" s="1"/>
  <c r="BU40" i="3"/>
  <c r="CB17" i="3"/>
  <c r="CF17" i="3" s="1"/>
  <c r="CB38" i="3"/>
  <c r="BX41" i="3"/>
  <c r="BY41" i="3" s="1"/>
  <c r="BX38" i="3"/>
  <c r="BY38" i="3" s="1"/>
  <c r="BX39" i="3"/>
  <c r="BY39" i="3" s="1"/>
  <c r="BX40" i="3"/>
  <c r="BY40" i="3" s="1"/>
  <c r="AS38" i="3"/>
  <c r="CB40" i="3"/>
  <c r="CB41" i="3"/>
  <c r="CB39" i="3"/>
  <c r="BU24" i="3"/>
  <c r="CC30" i="3"/>
  <c r="CF30" i="3"/>
  <c r="CE30" i="3"/>
  <c r="CF31" i="3"/>
  <c r="CC31" i="3"/>
  <c r="CE31" i="3"/>
  <c r="CF33" i="3"/>
  <c r="CC33" i="3"/>
  <c r="CE33" i="3"/>
  <c r="CC32" i="3"/>
  <c r="CF32" i="3"/>
  <c r="CE32" i="3"/>
  <c r="BU23" i="3"/>
  <c r="CD31" i="3"/>
  <c r="AA30" i="3"/>
  <c r="AA31" i="3"/>
  <c r="AB31" i="3" s="1"/>
  <c r="CD30" i="3"/>
  <c r="CD33" i="3"/>
  <c r="AA33" i="3"/>
  <c r="AB33" i="3" s="1"/>
  <c r="CD32" i="3"/>
  <c r="AA32" i="3"/>
  <c r="AB32" i="3" s="1"/>
  <c r="BU25" i="3"/>
  <c r="CB22" i="3"/>
  <c r="CB23" i="3"/>
  <c r="AS22" i="3"/>
  <c r="CB24" i="3"/>
  <c r="BX22" i="3"/>
  <c r="BY22" i="3" s="1"/>
  <c r="BX23" i="3"/>
  <c r="BY23" i="3" s="1"/>
  <c r="CB25" i="3"/>
  <c r="BX25" i="3"/>
  <c r="BY25" i="3" s="1"/>
  <c r="BX24" i="3"/>
  <c r="BY24" i="3" s="1"/>
  <c r="BU22" i="3"/>
  <c r="CF14" i="3"/>
  <c r="CC14" i="3"/>
  <c r="CC7" i="3"/>
  <c r="CE7" i="3"/>
  <c r="CF7" i="3"/>
  <c r="AA7" i="3"/>
  <c r="AB7" i="3" s="1"/>
  <c r="AA6" i="3"/>
  <c r="CD7" i="3"/>
  <c r="CD6" i="3"/>
  <c r="CD8" i="3"/>
  <c r="AA8" i="3"/>
  <c r="AB8" i="3" s="1"/>
  <c r="CE9" i="3"/>
  <c r="CF9" i="3"/>
  <c r="CC9" i="3"/>
  <c r="CF6" i="3"/>
  <c r="CC6" i="3"/>
  <c r="CE6" i="3"/>
  <c r="CC8" i="3"/>
  <c r="CF8" i="3"/>
  <c r="CE8" i="3"/>
  <c r="AA9" i="3"/>
  <c r="AB9" i="3" s="1"/>
  <c r="CD9" i="3"/>
  <c r="CD17" i="3" l="1"/>
  <c r="CF15" i="3"/>
  <c r="CC15" i="3"/>
  <c r="CE16" i="3"/>
  <c r="CF62" i="3"/>
  <c r="CC62" i="3"/>
  <c r="CE62" i="3"/>
  <c r="CC65" i="3"/>
  <c r="CE65" i="3"/>
  <c r="CF65" i="3"/>
  <c r="CD64" i="3"/>
  <c r="AA64" i="3"/>
  <c r="AB64" i="3" s="1"/>
  <c r="CC64" i="3"/>
  <c r="CF64" i="3"/>
  <c r="CE64" i="3"/>
  <c r="CE63" i="3"/>
  <c r="CC63" i="3"/>
  <c r="CF63" i="3"/>
  <c r="CD63" i="3"/>
  <c r="CD62" i="3"/>
  <c r="AA62" i="3"/>
  <c r="AA63" i="3"/>
  <c r="AB63" i="3" s="1"/>
  <c r="AA65" i="3"/>
  <c r="AB65" i="3" s="1"/>
  <c r="CD65" i="3"/>
  <c r="CD15" i="3"/>
  <c r="AA14" i="3"/>
  <c r="AA15" i="3"/>
  <c r="AB15" i="3" s="1"/>
  <c r="CD14" i="3"/>
  <c r="CR56" i="3" a="1"/>
  <c r="CR56" i="3" s="1"/>
  <c r="CO56" i="3" a="1"/>
  <c r="CO56" i="3" s="1"/>
  <c r="CY56" i="3" a="1"/>
  <c r="CY56" i="3" s="1"/>
  <c r="CN56" i="3" a="1"/>
  <c r="CN56" i="3" s="1"/>
  <c r="CR57" i="3" a="1"/>
  <c r="CR57" i="3" s="1"/>
  <c r="CN57" i="3" a="1"/>
  <c r="CN57" i="3" s="1"/>
  <c r="CS56" i="3" a="1"/>
  <c r="CS56" i="3" s="1"/>
  <c r="CS57" i="3" a="1"/>
  <c r="CS57" i="3" s="1"/>
  <c r="CQ57" i="3" a="1"/>
  <c r="CQ57" i="3" s="1"/>
  <c r="CY57" i="3" a="1"/>
  <c r="CY57" i="3" s="1"/>
  <c r="CO57" i="3" a="1"/>
  <c r="CO57" i="3" s="1"/>
  <c r="CQ54" i="3" a="1"/>
  <c r="CQ54" i="3" s="1"/>
  <c r="CZ55" i="3" a="1"/>
  <c r="CZ55" i="3" s="1"/>
  <c r="DF55" i="3" a="1"/>
  <c r="DF55" i="3" s="1"/>
  <c r="DB57" i="3" a="1"/>
  <c r="DB57" i="3" s="1"/>
  <c r="DD56" i="3" a="1"/>
  <c r="DD56" i="3" s="1"/>
  <c r="CZ56" i="3" a="1"/>
  <c r="CZ56" i="3" s="1"/>
  <c r="DA54" i="3" a="1"/>
  <c r="DA54" i="3" s="1"/>
  <c r="DG56" i="3" a="1"/>
  <c r="DG56" i="3" s="1"/>
  <c r="DE55" i="3" a="1"/>
  <c r="DE55" i="3" s="1"/>
  <c r="CT55" i="3" a="1"/>
  <c r="CT55" i="3" s="1"/>
  <c r="CO55" i="3" a="1"/>
  <c r="CO55" i="3" s="1"/>
  <c r="CT54" i="3"/>
  <c r="DB55" i="3" a="1"/>
  <c r="DB55" i="3" s="1"/>
  <c r="CS54" i="3" a="1"/>
  <c r="CS54" i="3" s="1"/>
  <c r="DC55" i="3" a="1"/>
  <c r="DC55" i="3" s="1"/>
  <c r="CX54" i="3" a="1"/>
  <c r="CX54" i="3" s="1"/>
  <c r="CM57" i="3" a="1"/>
  <c r="CM57" i="3" s="1"/>
  <c r="DG57" i="3" a="1"/>
  <c r="DG57" i="3" s="1"/>
  <c r="CU54" i="3" a="1"/>
  <c r="CU54" i="3" s="1"/>
  <c r="CU57" i="3" a="1"/>
  <c r="CU57" i="3" s="1"/>
  <c r="CM56" i="3" a="1"/>
  <c r="CM56" i="3" s="1"/>
  <c r="CV56" i="3" a="1"/>
  <c r="CV56" i="3" s="1"/>
  <c r="DC57" i="3" a="1"/>
  <c r="DC57" i="3" s="1"/>
  <c r="CZ57" i="3" a="1"/>
  <c r="CZ57" i="3" s="1"/>
  <c r="DD57" i="3" a="1"/>
  <c r="DD57" i="3" s="1"/>
  <c r="CV55" i="3" a="1"/>
  <c r="CV55" i="3" s="1"/>
  <c r="CZ54" i="3" a="1"/>
  <c r="CZ54" i="3" s="1"/>
  <c r="CT57" i="3" a="1"/>
  <c r="CT57" i="3" s="1"/>
  <c r="DD54" i="3" a="1"/>
  <c r="DD54" i="3" s="1"/>
  <c r="DG55" i="3" a="1"/>
  <c r="DG55" i="3" s="1"/>
  <c r="CN55" i="3" a="1"/>
  <c r="CN55" i="3" s="1"/>
  <c r="CR54" i="3" a="1"/>
  <c r="CR54" i="3" s="1"/>
  <c r="DE54" i="3" a="1"/>
  <c r="DE54" i="3" s="1"/>
  <c r="CM54" i="3" a="1"/>
  <c r="CM54" i="3" s="1"/>
  <c r="DC54" i="3" a="1"/>
  <c r="DC54" i="3" s="1"/>
  <c r="CW54" i="3" a="1"/>
  <c r="CW54" i="3" s="1"/>
  <c r="CN54" i="3" a="1"/>
  <c r="CN54" i="3" s="1"/>
  <c r="CL55" i="3" a="1"/>
  <c r="CL55" i="3" s="1"/>
  <c r="CL57" i="3" a="1"/>
  <c r="CL57" i="3" s="1"/>
  <c r="DE56" i="3" a="1"/>
  <c r="DE56" i="3" s="1"/>
  <c r="CO54" i="3" a="1"/>
  <c r="CO54" i="3" s="1"/>
  <c r="DB54" i="3" a="1"/>
  <c r="DB54" i="3" s="1"/>
  <c r="DF57" i="3" a="1"/>
  <c r="DF57" i="3" s="1"/>
  <c r="CU55" i="3" a="1"/>
  <c r="CU55" i="3" s="1"/>
  <c r="DG54" i="3" a="1"/>
  <c r="DG54" i="3" s="1"/>
  <c r="CV57" i="3" a="1"/>
  <c r="CV57" i="3" s="1"/>
  <c r="DA55" i="3" a="1"/>
  <c r="DA55" i="3" s="1"/>
  <c r="DF54" i="3" a="1"/>
  <c r="DF54" i="3" s="1"/>
  <c r="CL54" i="3" a="1"/>
  <c r="CL54" i="3" s="1"/>
  <c r="DD55" i="3" a="1"/>
  <c r="DD55" i="3" s="1"/>
  <c r="CL56" i="3" a="1"/>
  <c r="CL56" i="3" s="1"/>
  <c r="DA56" i="3" a="1"/>
  <c r="DA56" i="3" s="1"/>
  <c r="CM55" i="3" a="1"/>
  <c r="CM55" i="3" s="1"/>
  <c r="CT56" i="3" a="1"/>
  <c r="CT56" i="3" s="1"/>
  <c r="DB56" i="3" a="1"/>
  <c r="DB56" i="3" s="1"/>
  <c r="DE57" i="3" a="1"/>
  <c r="DE57" i="3" s="1"/>
  <c r="DA57" i="3" a="1"/>
  <c r="DA57" i="3" s="1"/>
  <c r="CY54" i="3" a="1"/>
  <c r="CY54" i="3" s="1"/>
  <c r="CV54" i="3" a="1"/>
  <c r="CV54" i="3" s="1"/>
  <c r="DC56" i="3" a="1"/>
  <c r="DC56" i="3" s="1"/>
  <c r="DF56" i="3" a="1"/>
  <c r="DF56" i="3" s="1"/>
  <c r="CU56" i="3" a="1"/>
  <c r="CU56" i="3" s="1"/>
  <c r="CD16" i="3"/>
  <c r="AB54" i="3"/>
  <c r="AA53" i="3"/>
  <c r="CF16" i="3"/>
  <c r="CP56" i="3" a="1"/>
  <c r="CP56" i="3" s="1"/>
  <c r="CW55" i="3" a="1"/>
  <c r="CW55" i="3" s="1"/>
  <c r="CP54" i="3" a="1"/>
  <c r="CP54" i="3" s="1"/>
  <c r="CP57" i="3" a="1"/>
  <c r="CP57" i="3" s="1"/>
  <c r="CX56" i="3" a="1"/>
  <c r="CX56" i="3" s="1"/>
  <c r="CS55" i="3" a="1"/>
  <c r="CS55" i="3" s="1"/>
  <c r="CW56" i="3" a="1"/>
  <c r="CW56" i="3" s="1"/>
  <c r="CR55" i="3" a="1"/>
  <c r="CR55" i="3" s="1"/>
  <c r="CW57" i="3" a="1"/>
  <c r="CW57" i="3" s="1"/>
  <c r="CQ56" i="3" a="1"/>
  <c r="CQ56" i="3" s="1"/>
  <c r="CY55" i="3" a="1"/>
  <c r="CY55" i="3" s="1"/>
  <c r="CX55" i="3" a="1"/>
  <c r="CX55" i="3" s="1"/>
  <c r="CQ55" i="3" a="1"/>
  <c r="CQ55" i="3" s="1"/>
  <c r="CP55" i="3" a="1"/>
  <c r="CP55" i="3" s="1"/>
  <c r="CX57" i="3" a="1"/>
  <c r="CX57" i="3" s="1"/>
  <c r="AA17" i="3"/>
  <c r="AB17" i="3" s="1"/>
  <c r="AA16" i="3"/>
  <c r="AB16" i="3" s="1"/>
  <c r="AA46" i="3"/>
  <c r="AA47" i="3"/>
  <c r="AB47" i="3" s="1"/>
  <c r="CD47" i="3"/>
  <c r="CD46" i="3"/>
  <c r="AA48" i="3"/>
  <c r="AB48" i="3" s="1"/>
  <c r="CD48" i="3"/>
  <c r="CC47" i="3"/>
  <c r="CF47" i="3"/>
  <c r="CE47" i="3"/>
  <c r="CC17" i="3"/>
  <c r="CR16" i="3" s="1" a="1"/>
  <c r="CR16" i="3" s="1"/>
  <c r="CC49" i="3"/>
  <c r="CE49" i="3"/>
  <c r="CF49" i="3"/>
  <c r="CE48" i="3"/>
  <c r="CF48" i="3"/>
  <c r="CC48" i="3"/>
  <c r="CC46" i="3"/>
  <c r="CE46" i="3"/>
  <c r="CF46" i="3"/>
  <c r="CD49" i="3"/>
  <c r="AA49" i="3"/>
  <c r="AB49" i="3" s="1"/>
  <c r="CE17" i="3"/>
  <c r="CF41" i="3"/>
  <c r="CE41" i="3"/>
  <c r="CC41" i="3"/>
  <c r="CE40" i="3"/>
  <c r="CC40" i="3"/>
  <c r="CF40" i="3"/>
  <c r="CD41" i="3"/>
  <c r="AA41" i="3"/>
  <c r="AB41" i="3" s="1"/>
  <c r="CF39" i="3"/>
  <c r="CE39" i="3"/>
  <c r="CC39" i="3"/>
  <c r="CD40" i="3"/>
  <c r="AA40" i="3"/>
  <c r="AB40" i="3" s="1"/>
  <c r="CD38" i="3"/>
  <c r="CD39" i="3"/>
  <c r="AA39" i="3"/>
  <c r="AB39" i="3" s="1"/>
  <c r="AA38" i="3"/>
  <c r="CF38" i="3"/>
  <c r="CE38" i="3"/>
  <c r="CC38" i="3"/>
  <c r="CS32" i="3" a="1"/>
  <c r="CS32" i="3" s="1"/>
  <c r="CY32" i="3" a="1"/>
  <c r="CY32" i="3" s="1"/>
  <c r="CR33" i="3" a="1"/>
  <c r="CR33" i="3" s="1"/>
  <c r="CN32" i="3" a="1"/>
  <c r="CN32" i="3" s="1"/>
  <c r="CR32" i="3" a="1"/>
  <c r="CR32" i="3" s="1"/>
  <c r="CN33" i="3" a="1"/>
  <c r="CN33" i="3" s="1"/>
  <c r="CO32" i="3" a="1"/>
  <c r="CO32" i="3" s="1"/>
  <c r="CQ33" i="3" a="1"/>
  <c r="CQ33" i="3" s="1"/>
  <c r="CS33" i="3" a="1"/>
  <c r="CS33" i="3" s="1"/>
  <c r="CY33" i="3" a="1"/>
  <c r="CY33" i="3" s="1"/>
  <c r="CO33" i="3" a="1"/>
  <c r="CO33" i="3" s="1"/>
  <c r="CP30" i="3" a="1"/>
  <c r="CP30" i="3" s="1"/>
  <c r="CW31" i="3" a="1"/>
  <c r="CW31" i="3" s="1"/>
  <c r="CR31" i="3" a="1"/>
  <c r="CR31" i="3" s="1"/>
  <c r="CQ32" i="3" a="1"/>
  <c r="CQ32" i="3" s="1"/>
  <c r="CP32" i="3" a="1"/>
  <c r="CP32" i="3" s="1"/>
  <c r="CW33" i="3" a="1"/>
  <c r="CW33" i="3" s="1"/>
  <c r="CP31" i="3" a="1"/>
  <c r="CP31" i="3" s="1"/>
  <c r="CX33" i="3" a="1"/>
  <c r="CX33" i="3" s="1"/>
  <c r="CS31" i="3" a="1"/>
  <c r="CS31" i="3" s="1"/>
  <c r="CX31" i="3" a="1"/>
  <c r="CX31" i="3" s="1"/>
  <c r="CP33" i="3" a="1"/>
  <c r="CP33" i="3" s="1"/>
  <c r="CQ31" i="3" a="1"/>
  <c r="CQ31" i="3" s="1"/>
  <c r="CY31" i="3" a="1"/>
  <c r="CY31" i="3" s="1"/>
  <c r="CX32" i="3" a="1"/>
  <c r="CX32" i="3" s="1"/>
  <c r="CW32" i="3" a="1"/>
  <c r="CW32" i="3" s="1"/>
  <c r="AB30" i="3"/>
  <c r="AA29" i="3"/>
  <c r="CM33" i="3" a="1"/>
  <c r="CM33" i="3" s="1"/>
  <c r="DF32" i="3" a="1"/>
  <c r="DF32" i="3" s="1"/>
  <c r="CZ33" i="3" a="1"/>
  <c r="CZ33" i="3" s="1"/>
  <c r="CU32" i="3" a="1"/>
  <c r="CU32" i="3" s="1"/>
  <c r="CT31" i="3" a="1"/>
  <c r="CT31" i="3" s="1"/>
  <c r="DC30" i="3" a="1"/>
  <c r="DC30" i="3" s="1"/>
  <c r="CV33" i="3" a="1"/>
  <c r="CV33" i="3" s="1"/>
  <c r="DA30" i="3" a="1"/>
  <c r="DA30" i="3" s="1"/>
  <c r="CW30" i="3" a="1"/>
  <c r="CW30" i="3" s="1"/>
  <c r="DE33" i="3" a="1"/>
  <c r="DE33" i="3" s="1"/>
  <c r="DG33" i="3" a="1"/>
  <c r="DG33" i="3" s="1"/>
  <c r="CS30" i="3" a="1"/>
  <c r="CS30" i="3" s="1"/>
  <c r="DD33" i="3" a="1"/>
  <c r="DD33" i="3" s="1"/>
  <c r="DA31" i="3" a="1"/>
  <c r="DA31" i="3" s="1"/>
  <c r="CY30" i="3" a="1"/>
  <c r="CY30" i="3" s="1"/>
  <c r="CV32" i="3" a="1"/>
  <c r="CV32" i="3" s="1"/>
  <c r="CL32" i="3" a="1"/>
  <c r="CL32" i="3" s="1"/>
  <c r="DC32" i="3" a="1"/>
  <c r="DC32" i="3" s="1"/>
  <c r="CZ30" i="3" a="1"/>
  <c r="CZ30" i="3" s="1"/>
  <c r="DG30" i="3" a="1"/>
  <c r="DG30" i="3" s="1"/>
  <c r="CZ32" i="3" a="1"/>
  <c r="CZ32" i="3" s="1"/>
  <c r="DD30" i="3" a="1"/>
  <c r="DD30" i="3" s="1"/>
  <c r="CV30" i="3" a="1"/>
  <c r="CV30" i="3" s="1"/>
  <c r="CZ31" i="3" a="1"/>
  <c r="CZ31" i="3" s="1"/>
  <c r="DB30" i="3" a="1"/>
  <c r="DB30" i="3" s="1"/>
  <c r="DE31" i="3" a="1"/>
  <c r="DE31" i="3" s="1"/>
  <c r="DG31" i="3" a="1"/>
  <c r="DG31" i="3" s="1"/>
  <c r="CL30" i="3" a="1"/>
  <c r="CL30" i="3" s="1"/>
  <c r="DB32" i="3" a="1"/>
  <c r="DB32" i="3" s="1"/>
  <c r="CM30" i="3" a="1"/>
  <c r="CM30" i="3" s="1"/>
  <c r="CQ30" i="3" a="1"/>
  <c r="CQ30" i="3" s="1"/>
  <c r="CO30" i="3" a="1"/>
  <c r="CO30" i="3" s="1"/>
  <c r="CT32" i="3" a="1"/>
  <c r="CT32" i="3" s="1"/>
  <c r="CN31" i="3" a="1"/>
  <c r="CN31" i="3" s="1"/>
  <c r="DA33" i="3" a="1"/>
  <c r="DA33" i="3" s="1"/>
  <c r="CR30" i="3" a="1"/>
  <c r="CR30" i="3" s="1"/>
  <c r="DC31" i="3" a="1"/>
  <c r="DC31" i="3" s="1"/>
  <c r="DB31" i="3" a="1"/>
  <c r="DB31" i="3" s="1"/>
  <c r="DF33" i="3" a="1"/>
  <c r="DF33" i="3" s="1"/>
  <c r="CV31" i="3" a="1"/>
  <c r="CV31" i="3" s="1"/>
  <c r="DG32" i="3" a="1"/>
  <c r="DG32" i="3" s="1"/>
  <c r="DF30" i="3" a="1"/>
  <c r="DF30" i="3" s="1"/>
  <c r="CL31" i="3" a="1"/>
  <c r="CL31" i="3" s="1"/>
  <c r="DF31" i="3" a="1"/>
  <c r="DF31" i="3" s="1"/>
  <c r="DD32" i="3" a="1"/>
  <c r="DD32" i="3" s="1"/>
  <c r="DE32" i="3" a="1"/>
  <c r="DE32" i="3" s="1"/>
  <c r="DC33" i="3" a="1"/>
  <c r="DC33" i="3" s="1"/>
  <c r="CN30" i="3" a="1"/>
  <c r="CN30" i="3" s="1"/>
  <c r="CT30" i="3" a="1"/>
  <c r="CT30" i="3" s="1"/>
  <c r="CT33" i="3" a="1"/>
  <c r="CT33" i="3" s="1"/>
  <c r="CL33" i="3" a="1"/>
  <c r="CL33" i="3" s="1"/>
  <c r="DB33" i="3" a="1"/>
  <c r="DB33" i="3" s="1"/>
  <c r="CU33" i="3" a="1"/>
  <c r="CU33" i="3" s="1"/>
  <c r="CX30" i="3" a="1"/>
  <c r="CX30" i="3" s="1"/>
  <c r="CU31" i="3" a="1"/>
  <c r="CU31" i="3" s="1"/>
  <c r="DD31" i="3" a="1"/>
  <c r="DD31" i="3" s="1"/>
  <c r="CU30" i="3" a="1"/>
  <c r="CU30" i="3" s="1"/>
  <c r="DE30" i="3" a="1"/>
  <c r="DE30" i="3" s="1"/>
  <c r="CO31" i="3" a="1"/>
  <c r="CO31" i="3" s="1"/>
  <c r="CM32" i="3" a="1"/>
  <c r="CM32" i="3" s="1"/>
  <c r="DA32" i="3" a="1"/>
  <c r="DA32" i="3" s="1"/>
  <c r="CM31" i="3" a="1"/>
  <c r="CM31" i="3" s="1"/>
  <c r="AA25" i="3"/>
  <c r="AB25" i="3" s="1"/>
  <c r="CD25" i="3"/>
  <c r="CF25" i="3"/>
  <c r="CC25" i="3"/>
  <c r="CE25" i="3"/>
  <c r="CD24" i="3"/>
  <c r="AA24" i="3"/>
  <c r="AB24" i="3" s="1"/>
  <c r="CD22" i="3"/>
  <c r="AA22" i="3"/>
  <c r="AA23" i="3"/>
  <c r="AB23" i="3" s="1"/>
  <c r="CD23" i="3"/>
  <c r="CC24" i="3"/>
  <c r="CF24" i="3"/>
  <c r="CE24" i="3"/>
  <c r="CC23" i="3"/>
  <c r="CE23" i="3"/>
  <c r="CF23" i="3"/>
  <c r="CC22" i="3"/>
  <c r="CE22" i="3"/>
  <c r="CF22" i="3"/>
  <c r="AB14" i="3"/>
  <c r="CR15" i="3" a="1"/>
  <c r="CR15" i="3" s="1"/>
  <c r="CS15" i="3" a="1"/>
  <c r="CS15" i="3" s="1"/>
  <c r="CW14" i="3" a="1"/>
  <c r="CW14" i="3" s="1"/>
  <c r="CX14" i="3" a="1"/>
  <c r="CX14" i="3" s="1"/>
  <c r="CR9" i="3" a="1"/>
  <c r="CR9" i="3" s="1"/>
  <c r="CN8" i="3" a="1"/>
  <c r="CN8" i="3" s="1"/>
  <c r="CN9" i="3" a="1"/>
  <c r="CN9" i="3" s="1"/>
  <c r="CO8" i="3" a="1"/>
  <c r="CO8" i="3" s="1"/>
  <c r="CS8" i="3" a="1"/>
  <c r="CS8" i="3" s="1"/>
  <c r="CR8" i="3" a="1"/>
  <c r="CR8" i="3" s="1"/>
  <c r="CY8" i="3" a="1"/>
  <c r="CY8" i="3" s="1"/>
  <c r="AB6" i="3"/>
  <c r="AA5" i="3"/>
  <c r="CV8" i="3" a="1"/>
  <c r="CV8" i="3" s="1"/>
  <c r="DB6" i="3" a="1"/>
  <c r="DB6" i="3" s="1"/>
  <c r="DG9" i="3" a="1"/>
  <c r="DG9" i="3" s="1"/>
  <c r="DD9" i="3" a="1"/>
  <c r="DD9" i="3" s="1"/>
  <c r="CM6" i="3" a="1"/>
  <c r="CM6" i="3" s="1"/>
  <c r="CT6" i="3" a="1"/>
  <c r="CT6" i="3" s="1"/>
  <c r="CW6" i="3" a="1"/>
  <c r="CW6" i="3" s="1"/>
  <c r="DC8" i="3" a="1"/>
  <c r="DC8" i="3" s="1"/>
  <c r="DF7" i="3" a="1"/>
  <c r="DF7" i="3" s="1"/>
  <c r="CM7" i="3" a="1"/>
  <c r="CM7" i="3" s="1"/>
  <c r="CU9" i="3" a="1"/>
  <c r="CU9" i="3" s="1"/>
  <c r="DA8" i="3" a="1"/>
  <c r="DA8" i="3" s="1"/>
  <c r="CR6" i="3" a="1"/>
  <c r="CR6" i="3" s="1"/>
  <c r="CO6" i="3" a="1"/>
  <c r="CO6" i="3" s="1"/>
  <c r="DG6" i="3" a="1"/>
  <c r="DG6" i="3" s="1"/>
  <c r="DD8" i="3" a="1"/>
  <c r="DD8" i="3" s="1"/>
  <c r="CN7" i="3" a="1"/>
  <c r="CN7" i="3" s="1"/>
  <c r="CV9" i="3" a="1"/>
  <c r="CV9" i="3" s="1"/>
  <c r="CT9" i="3" a="1"/>
  <c r="CT9" i="3" s="1"/>
  <c r="DG7" i="3" a="1"/>
  <c r="DG7" i="3" s="1"/>
  <c r="CV6" i="3" a="1"/>
  <c r="CV6" i="3" s="1"/>
  <c r="CM8" i="3" a="1"/>
  <c r="CM8" i="3" s="1"/>
  <c r="DA6" i="3" a="1"/>
  <c r="DA6" i="3" s="1"/>
  <c r="DA9" i="3" a="1"/>
  <c r="DA9" i="3" s="1"/>
  <c r="CZ9" i="3" a="1"/>
  <c r="CZ9" i="3" s="1"/>
  <c r="DF6" i="3" a="1"/>
  <c r="DF6" i="3" s="1"/>
  <c r="DB8" i="3" a="1"/>
  <c r="DB8" i="3" s="1"/>
  <c r="CN6" i="3" a="1"/>
  <c r="CN6" i="3" s="1"/>
  <c r="DB7" i="3" a="1"/>
  <c r="DB7" i="3" s="1"/>
  <c r="DD7" i="3" a="1"/>
  <c r="DD7" i="3" s="1"/>
  <c r="CV7" i="3" a="1"/>
  <c r="CV7" i="3" s="1"/>
  <c r="CU8" i="3" a="1"/>
  <c r="CU8" i="3" s="1"/>
  <c r="CT7" i="3" a="1"/>
  <c r="CT7" i="3" s="1"/>
  <c r="CZ8" i="3" a="1"/>
  <c r="CZ8" i="3" s="1"/>
  <c r="DB9" i="3" a="1"/>
  <c r="DB9" i="3" s="1"/>
  <c r="CM9" i="3" a="1"/>
  <c r="CM9" i="3" s="1"/>
  <c r="DF8" i="3" a="1"/>
  <c r="DF8" i="3" s="1"/>
  <c r="DC9" i="3" a="1"/>
  <c r="DC9" i="3" s="1"/>
  <c r="DF9" i="3" a="1"/>
  <c r="DF9" i="3" s="1"/>
  <c r="DE6" i="3" a="1"/>
  <c r="DE6" i="3" s="1"/>
  <c r="CX6" i="3" a="1"/>
  <c r="CX6" i="3" s="1"/>
  <c r="CO7" i="3" a="1"/>
  <c r="CO7" i="3" s="1"/>
  <c r="CZ7" i="3" a="1"/>
  <c r="CZ7" i="3" s="1"/>
  <c r="DE7" i="3" a="1"/>
  <c r="DE7" i="3" s="1"/>
  <c r="CS6" i="3" a="1"/>
  <c r="CS6" i="3" s="1"/>
  <c r="CZ6" i="3" a="1"/>
  <c r="CZ6" i="3" s="1"/>
  <c r="CU7" i="3" a="1"/>
  <c r="CU7" i="3" s="1"/>
  <c r="DD6" i="3" a="1"/>
  <c r="DD6" i="3" s="1"/>
  <c r="CL8" i="3" a="1"/>
  <c r="CL8" i="3" s="1"/>
  <c r="CT8" i="3" a="1"/>
  <c r="CT8" i="3" s="1"/>
  <c r="DE8" i="3" a="1"/>
  <c r="DE8" i="3" s="1"/>
  <c r="DC7" i="3" a="1"/>
  <c r="DC7" i="3" s="1"/>
  <c r="DA7" i="3" a="1"/>
  <c r="DA7" i="3" s="1"/>
  <c r="CQ6" i="3" a="1"/>
  <c r="CQ6" i="3" s="1"/>
  <c r="CL7" i="3" a="1"/>
  <c r="CL7" i="3" s="1"/>
  <c r="DE9" i="3" a="1"/>
  <c r="DE9" i="3" s="1"/>
  <c r="CL6" i="3" a="1"/>
  <c r="CL6" i="3" s="1"/>
  <c r="CL9" i="3" a="1"/>
  <c r="CL9" i="3" s="1"/>
  <c r="CU6" i="3" a="1"/>
  <c r="CU6" i="3" s="1"/>
  <c r="DG8" i="3" a="1"/>
  <c r="DG8" i="3" s="1"/>
  <c r="DC6" i="3" a="1"/>
  <c r="DC6" i="3" s="1"/>
  <c r="CY6" i="3" a="1"/>
  <c r="CY6" i="3" s="1"/>
  <c r="CS9" i="3" a="1"/>
  <c r="CS9" i="3" s="1"/>
  <c r="CY9" i="3" a="1"/>
  <c r="CY9" i="3" s="1"/>
  <c r="CO9" i="3" a="1"/>
  <c r="CO9" i="3" s="1"/>
  <c r="CQ9" i="3" a="1"/>
  <c r="CQ9" i="3" s="1"/>
  <c r="CW7" i="3" a="1"/>
  <c r="CW7" i="3" s="1"/>
  <c r="CP8" i="3" a="1"/>
  <c r="CP8" i="3" s="1"/>
  <c r="CP6" i="3" a="1"/>
  <c r="CP6" i="3" s="1"/>
  <c r="CQ7" i="3" a="1"/>
  <c r="CQ7" i="3" s="1"/>
  <c r="CX7" i="3" a="1"/>
  <c r="CX7" i="3" s="1"/>
  <c r="CQ8" i="3" a="1"/>
  <c r="CQ8" i="3" s="1"/>
  <c r="CY7" i="3" a="1"/>
  <c r="CY7" i="3" s="1"/>
  <c r="CX8" i="3" a="1"/>
  <c r="CX8" i="3" s="1"/>
  <c r="CP9" i="3" a="1"/>
  <c r="CP9" i="3" s="1"/>
  <c r="CW8" i="3" a="1"/>
  <c r="CW8" i="3" s="1"/>
  <c r="CW9" i="3" a="1"/>
  <c r="CW9" i="3" s="1"/>
  <c r="CR7" i="3" a="1"/>
  <c r="CR7" i="3" s="1"/>
  <c r="CX9" i="3" a="1"/>
  <c r="CX9" i="3" s="1"/>
  <c r="CS7" i="3" a="1"/>
  <c r="CS7" i="3" s="1"/>
  <c r="CP7" i="3" a="1"/>
  <c r="CP7" i="3" s="1"/>
  <c r="CN17" i="3" l="1" a="1"/>
  <c r="CN17" i="3" s="1"/>
  <c r="CY17" i="3" a="1"/>
  <c r="CY17" i="3" s="1"/>
  <c r="CS16" i="3" a="1"/>
  <c r="CS16" i="3" s="1"/>
  <c r="CQ17" i="3" a="1"/>
  <c r="CQ17" i="3" s="1"/>
  <c r="CO16" i="3" a="1"/>
  <c r="CO16" i="3" s="1"/>
  <c r="CS17" i="3" a="1"/>
  <c r="CS17" i="3" s="1"/>
  <c r="CS14" i="3" a="1"/>
  <c r="CS14" i="3" s="1"/>
  <c r="CQ14" i="3" a="1"/>
  <c r="CQ14" i="3" s="1"/>
  <c r="CQ12" i="3" s="1"/>
  <c r="CQ15" i="3" a="1"/>
  <c r="CQ15" i="3" s="1"/>
  <c r="DB16" i="3" a="1"/>
  <c r="DB16" i="3" s="1"/>
  <c r="CW16" i="3" a="1"/>
  <c r="CW16" i="3" s="1"/>
  <c r="DE15" i="3" a="1"/>
  <c r="DE15" i="3" s="1"/>
  <c r="CV17" i="3" a="1"/>
  <c r="CV17" i="3" s="1"/>
  <c r="DA17" i="3" a="1"/>
  <c r="DA17" i="3" s="1"/>
  <c r="CP14" i="3" a="1"/>
  <c r="CP14" i="3" s="1"/>
  <c r="CU17" i="3" a="1"/>
  <c r="CU17" i="3" s="1"/>
  <c r="DF14" i="3" a="1"/>
  <c r="DF14" i="3" s="1"/>
  <c r="CX15" i="3" a="1"/>
  <c r="CX15" i="3" s="1"/>
  <c r="CP16" i="3" a="1"/>
  <c r="CP16" i="3" s="1"/>
  <c r="CV14" i="3" a="1"/>
  <c r="CV14" i="3" s="1"/>
  <c r="CP17" i="3" a="1"/>
  <c r="CP17" i="3" s="1"/>
  <c r="CZ14" i="3" a="1"/>
  <c r="CZ14" i="3" s="1"/>
  <c r="DA15" i="3" a="1"/>
  <c r="DA15" i="3" s="1"/>
  <c r="CP15" i="3" a="1"/>
  <c r="CP15" i="3" s="1"/>
  <c r="CT15" i="3" a="1"/>
  <c r="CT15" i="3" s="1"/>
  <c r="CX16" i="3" a="1"/>
  <c r="CX16" i="3" s="1"/>
  <c r="CN16" i="3" a="1"/>
  <c r="CN16" i="3" s="1"/>
  <c r="CO17" i="3" a="1"/>
  <c r="CO17" i="3" s="1"/>
  <c r="CR14" i="3" a="1"/>
  <c r="CR14" i="3" s="1"/>
  <c r="CQ16" i="3" a="1"/>
  <c r="CQ16" i="3" s="1"/>
  <c r="CR17" i="3" a="1"/>
  <c r="CR17" i="3" s="1"/>
  <c r="CO52" i="3"/>
  <c r="CZ16" i="3" a="1"/>
  <c r="CZ16" i="3" s="1"/>
  <c r="CW15" i="3" a="1"/>
  <c r="CW15" i="3" s="1"/>
  <c r="CW17" i="3" a="1"/>
  <c r="CW17" i="3" s="1"/>
  <c r="CX17" i="3" a="1"/>
  <c r="CX17" i="3" s="1"/>
  <c r="CX12" i="3" s="1"/>
  <c r="CY16" i="3" a="1"/>
  <c r="CY16" i="3" s="1"/>
  <c r="CT16" i="3" a="1"/>
  <c r="CT16" i="3" s="1"/>
  <c r="CM16" i="3" a="1"/>
  <c r="CM16" i="3" s="1"/>
  <c r="DA16" i="3" a="1"/>
  <c r="DA16" i="3" s="1"/>
  <c r="DG14" i="3" a="1"/>
  <c r="DG14" i="3" s="1"/>
  <c r="CZ15" i="3" a="1"/>
  <c r="CZ15" i="3" s="1"/>
  <c r="CN14" i="3" a="1"/>
  <c r="CN14" i="3" s="1"/>
  <c r="CO15" i="3" a="1"/>
  <c r="CO15" i="3" s="1"/>
  <c r="CM15" i="3" a="1"/>
  <c r="CM15" i="3" s="1"/>
  <c r="DC14" i="3" a="1"/>
  <c r="DC14" i="3" s="1"/>
  <c r="CR65" i="3" a="1"/>
  <c r="CR65" i="3" s="1"/>
  <c r="CY64" i="3" a="1"/>
  <c r="CY64" i="3" s="1"/>
  <c r="CR64" i="3" a="1"/>
  <c r="CR64" i="3" s="1"/>
  <c r="CN65" i="3" a="1"/>
  <c r="CN65" i="3" s="1"/>
  <c r="CO64" i="3" a="1"/>
  <c r="CO64" i="3" s="1"/>
  <c r="CN64" i="3" a="1"/>
  <c r="CN64" i="3" s="1"/>
  <c r="CS64" i="3" a="1"/>
  <c r="CS64" i="3" s="1"/>
  <c r="DE14" i="3" a="1"/>
  <c r="DE14" i="3" s="1"/>
  <c r="CN15" i="3" a="1"/>
  <c r="CN15" i="3" s="1"/>
  <c r="CY15" i="3" a="1"/>
  <c r="CY15" i="3" s="1"/>
  <c r="DF16" i="3" a="1"/>
  <c r="DF16" i="3" s="1"/>
  <c r="CV15" i="3" a="1"/>
  <c r="CV15" i="3" s="1"/>
  <c r="DE16" i="3" a="1"/>
  <c r="DE16" i="3" s="1"/>
  <c r="CM17" i="3" a="1"/>
  <c r="CM17" i="3" s="1"/>
  <c r="CZ17" i="3" a="1"/>
  <c r="CZ17" i="3" s="1"/>
  <c r="DF17" i="3" a="1"/>
  <c r="DF17" i="3" s="1"/>
  <c r="DG16" i="3" a="1"/>
  <c r="DG16" i="3" s="1"/>
  <c r="AB62" i="3"/>
  <c r="AA61" i="3"/>
  <c r="DG15" i="3" a="1"/>
  <c r="DG15" i="3" s="1"/>
  <c r="CT14" i="3" a="1"/>
  <c r="CT14" i="3" s="1"/>
  <c r="CO65" i="3" a="1"/>
  <c r="CO65" i="3" s="1"/>
  <c r="CQ65" i="3" a="1"/>
  <c r="CQ65" i="3" s="1"/>
  <c r="CY65" i="3" a="1"/>
  <c r="CY65" i="3" s="1"/>
  <c r="CS65" i="3" a="1"/>
  <c r="CS65" i="3" s="1"/>
  <c r="DC17" i="3" a="1"/>
  <c r="DC17" i="3" s="1"/>
  <c r="CO14" i="3" a="1"/>
  <c r="CO14" i="3" s="1"/>
  <c r="CT17" i="3" a="1"/>
  <c r="CT17" i="3" s="1"/>
  <c r="CM14" i="3" a="1"/>
  <c r="CM14" i="3" s="1"/>
  <c r="CY14" i="3" a="1"/>
  <c r="CY14" i="3" s="1"/>
  <c r="DA14" i="3" a="1"/>
  <c r="DA14" i="3" s="1"/>
  <c r="CZ64" i="3" a="1"/>
  <c r="CZ64" i="3" s="1"/>
  <c r="DG62" i="3" a="1"/>
  <c r="DG62" i="3" s="1"/>
  <c r="DD63" i="3" a="1"/>
  <c r="DD63" i="3" s="1"/>
  <c r="CX62" i="3" a="1"/>
  <c r="CX62" i="3" s="1"/>
  <c r="DC65" i="3" a="1"/>
  <c r="DC65" i="3" s="1"/>
  <c r="DE64" i="3" a="1"/>
  <c r="DE64" i="3" s="1"/>
  <c r="CM64" i="3" a="1"/>
  <c r="CM64" i="3" s="1"/>
  <c r="DA62" i="3" a="1"/>
  <c r="DA62" i="3" s="1"/>
  <c r="CU63" i="3" a="1"/>
  <c r="CU63" i="3" s="1"/>
  <c r="DG63" i="3" a="1"/>
  <c r="DG63" i="3" s="1"/>
  <c r="DB65" i="3" a="1"/>
  <c r="DB65" i="3" s="1"/>
  <c r="CL64" i="3" a="1"/>
  <c r="CL64" i="3" s="1"/>
  <c r="DB63" i="3" a="1"/>
  <c r="DB63" i="3" s="1"/>
  <c r="CV64" i="3" a="1"/>
  <c r="CV64" i="3" s="1"/>
  <c r="CO62" i="3" a="1"/>
  <c r="CO62" i="3" s="1"/>
  <c r="DE63" i="3" a="1"/>
  <c r="DE63" i="3" s="1"/>
  <c r="DG65" i="3" a="1"/>
  <c r="DG65" i="3" s="1"/>
  <c r="CV65" i="3" a="1"/>
  <c r="CV65" i="3" s="1"/>
  <c r="CT63" i="3" a="1"/>
  <c r="CT63" i="3" s="1"/>
  <c r="CQ62" i="3" a="1"/>
  <c r="CQ62" i="3" s="1"/>
  <c r="DD64" i="3" a="1"/>
  <c r="DD64" i="3" s="1"/>
  <c r="DD65" i="3" a="1"/>
  <c r="DD65" i="3" s="1"/>
  <c r="DC63" i="3" a="1"/>
  <c r="DC63" i="3" s="1"/>
  <c r="CS62" i="3" a="1"/>
  <c r="CS62" i="3" s="1"/>
  <c r="DF62" i="3" a="1"/>
  <c r="DF62" i="3" s="1"/>
  <c r="DC62" i="3" a="1"/>
  <c r="DC62" i="3" s="1"/>
  <c r="CZ65" i="3" a="1"/>
  <c r="CZ65" i="3" s="1"/>
  <c r="DC64" i="3" a="1"/>
  <c r="DC64" i="3" s="1"/>
  <c r="CO63" i="3" a="1"/>
  <c r="CO63" i="3" s="1"/>
  <c r="CZ62" i="3" a="1"/>
  <c r="CZ62" i="3" s="1"/>
  <c r="CT62" i="3"/>
  <c r="CL62" i="3" a="1"/>
  <c r="CL62" i="3" s="1"/>
  <c r="DB64" i="3" a="1"/>
  <c r="DB64" i="3" s="1"/>
  <c r="DA63" i="3" a="1"/>
  <c r="DA63" i="3" s="1"/>
  <c r="CN62" i="3" a="1"/>
  <c r="CN62" i="3" s="1"/>
  <c r="CV62" i="3" a="1"/>
  <c r="CV62" i="3" s="1"/>
  <c r="CL65" i="3" a="1"/>
  <c r="CL65" i="3" s="1"/>
  <c r="CU64" i="3" a="1"/>
  <c r="CU64" i="3" s="1"/>
  <c r="DB62" i="3" a="1"/>
  <c r="DB62" i="3" s="1"/>
  <c r="CM63" i="3" a="1"/>
  <c r="CM63" i="3" s="1"/>
  <c r="CN63" i="3" a="1"/>
  <c r="CN63" i="3" s="1"/>
  <c r="CT65" i="3" a="1"/>
  <c r="CT65" i="3" s="1"/>
  <c r="DG64" i="3" a="1"/>
  <c r="DG64" i="3" s="1"/>
  <c r="CV63" i="3" a="1"/>
  <c r="CV63" i="3" s="1"/>
  <c r="CW62" i="3" a="1"/>
  <c r="CW62" i="3" s="1"/>
  <c r="DE62" i="3" a="1"/>
  <c r="DE62" i="3" s="1"/>
  <c r="DA65" i="3" a="1"/>
  <c r="DA65" i="3" s="1"/>
  <c r="DA64" i="3" a="1"/>
  <c r="DA64" i="3" s="1"/>
  <c r="CM65" i="3" a="1"/>
  <c r="CM65" i="3" s="1"/>
  <c r="DF63" i="3" a="1"/>
  <c r="DF63" i="3" s="1"/>
  <c r="DD62" i="3" a="1"/>
  <c r="DD62" i="3" s="1"/>
  <c r="DE65" i="3" a="1"/>
  <c r="DE65" i="3" s="1"/>
  <c r="CT64" i="3" a="1"/>
  <c r="CT64" i="3" s="1"/>
  <c r="CR62" i="3" a="1"/>
  <c r="CR62" i="3" s="1"/>
  <c r="CL63" i="3" a="1"/>
  <c r="CL63" i="3" s="1"/>
  <c r="CY62" i="3" a="1"/>
  <c r="CY62" i="3" s="1"/>
  <c r="CU65" i="3" a="1"/>
  <c r="CU65" i="3" s="1"/>
  <c r="DF64" i="3" a="1"/>
  <c r="DF64" i="3" s="1"/>
  <c r="CZ63" i="3" a="1"/>
  <c r="CZ63" i="3" s="1"/>
  <c r="CM62" i="3" a="1"/>
  <c r="CM62" i="3" s="1"/>
  <c r="CU62" i="3" a="1"/>
  <c r="CU62" i="3" s="1"/>
  <c r="DF65" i="3" a="1"/>
  <c r="DF65" i="3" s="1"/>
  <c r="DD16" i="3" a="1"/>
  <c r="DD16" i="3" s="1"/>
  <c r="DC16" i="3" a="1"/>
  <c r="DC16" i="3" s="1"/>
  <c r="CV16" i="3" a="1"/>
  <c r="CV16" i="3" s="1"/>
  <c r="CL14" i="3" a="1"/>
  <c r="CL14" i="3" s="1"/>
  <c r="CP64" i="3" a="1"/>
  <c r="CP64" i="3" s="1"/>
  <c r="CX65" i="3" a="1"/>
  <c r="CX65" i="3" s="1"/>
  <c r="CP65" i="3" a="1"/>
  <c r="CP65" i="3" s="1"/>
  <c r="CQ63" i="3" a="1"/>
  <c r="CQ63" i="3" s="1"/>
  <c r="CY63" i="3" a="1"/>
  <c r="CY63" i="3" s="1"/>
  <c r="CP63" i="3" a="1"/>
  <c r="CP63" i="3" s="1"/>
  <c r="CX64" i="3" a="1"/>
  <c r="CX64" i="3" s="1"/>
  <c r="CR63" i="3" a="1"/>
  <c r="CR63" i="3" s="1"/>
  <c r="CX63" i="3" a="1"/>
  <c r="CX63" i="3" s="1"/>
  <c r="CP62" i="3" a="1"/>
  <c r="CP62" i="3" s="1"/>
  <c r="CW63" i="3" a="1"/>
  <c r="CW63" i="3" s="1"/>
  <c r="CW65" i="3" a="1"/>
  <c r="CW65" i="3" s="1"/>
  <c r="CS63" i="3" a="1"/>
  <c r="CS63" i="3" s="1"/>
  <c r="CW64" i="3" a="1"/>
  <c r="CW64" i="3" s="1"/>
  <c r="CQ64" i="3" a="1"/>
  <c r="CQ64" i="3" s="1"/>
  <c r="DG17" i="3" a="1"/>
  <c r="DG17" i="3" s="1"/>
  <c r="CU15" i="3" a="1"/>
  <c r="CU15" i="3" s="1"/>
  <c r="DD17" i="3" a="1"/>
  <c r="DD17" i="3" s="1"/>
  <c r="DF15" i="3" a="1"/>
  <c r="DF15" i="3" s="1"/>
  <c r="DD15" i="3" a="1"/>
  <c r="DD15" i="3" s="1"/>
  <c r="CL17" i="3" a="1"/>
  <c r="CL17" i="3" s="1"/>
  <c r="CR52" i="3"/>
  <c r="DB15" i="3" a="1"/>
  <c r="DB15" i="3" s="1"/>
  <c r="DC15" i="3" a="1"/>
  <c r="DC15" i="3" s="1"/>
  <c r="CU16" i="3" a="1"/>
  <c r="CU16" i="3" s="1"/>
  <c r="DD14" i="3" a="1"/>
  <c r="DD14" i="3" s="1"/>
  <c r="AA13" i="3"/>
  <c r="CL16" i="3" a="1"/>
  <c r="CL16" i="3" s="1"/>
  <c r="DB17" i="3" a="1"/>
  <c r="DB17" i="3" s="1"/>
  <c r="DE17" i="3" a="1"/>
  <c r="DE17" i="3" s="1"/>
  <c r="CL15" i="3" a="1"/>
  <c r="CL15" i="3" s="1"/>
  <c r="CZ52" i="3"/>
  <c r="DB14" i="3" a="1"/>
  <c r="DB14" i="3" s="1"/>
  <c r="CU14" i="3" a="1"/>
  <c r="CU14" i="3" s="1"/>
  <c r="CN52" i="3"/>
  <c r="CV52" i="3"/>
  <c r="DC52" i="3"/>
  <c r="CL52" i="3"/>
  <c r="CQ52" i="3"/>
  <c r="DF52" i="3"/>
  <c r="CW52" i="3"/>
  <c r="CT52" i="3"/>
  <c r="CY52" i="3"/>
  <c r="CM52" i="3"/>
  <c r="CP52" i="3"/>
  <c r="DG52" i="3"/>
  <c r="DE52" i="3"/>
  <c r="CU52" i="3"/>
  <c r="DA52" i="3"/>
  <c r="DB52" i="3"/>
  <c r="DD52" i="3"/>
  <c r="AU54" i="3"/>
  <c r="AU55" i="3"/>
  <c r="AU56" i="3"/>
  <c r="AU57" i="3"/>
  <c r="CX52" i="3"/>
  <c r="CS52" i="3"/>
  <c r="CO49" i="3" a="1"/>
  <c r="CO49" i="3" s="1"/>
  <c r="CY49" i="3" a="1"/>
  <c r="CY49" i="3" s="1"/>
  <c r="CQ49" i="3" a="1"/>
  <c r="CQ49" i="3" s="1"/>
  <c r="CS49" i="3" a="1"/>
  <c r="CS49" i="3" s="1"/>
  <c r="DE28" i="3"/>
  <c r="CQ48" i="3" a="1"/>
  <c r="CQ48" i="3" s="1"/>
  <c r="CP46" i="3" a="1"/>
  <c r="CP46" i="3" s="1"/>
  <c r="CW49" i="3" a="1"/>
  <c r="CW49" i="3" s="1"/>
  <c r="CY47" i="3" a="1"/>
  <c r="CY47" i="3" s="1"/>
  <c r="CP49" i="3" a="1"/>
  <c r="CP49" i="3" s="1"/>
  <c r="CX47" i="3" a="1"/>
  <c r="CX47" i="3" s="1"/>
  <c r="CR47" i="3" a="1"/>
  <c r="CR47" i="3" s="1"/>
  <c r="CQ47" i="3" a="1"/>
  <c r="CQ47" i="3" s="1"/>
  <c r="CS47" i="3" a="1"/>
  <c r="CS47" i="3" s="1"/>
  <c r="CX49" i="3" a="1"/>
  <c r="CX49" i="3" s="1"/>
  <c r="CX48" i="3" a="1"/>
  <c r="CX48" i="3" s="1"/>
  <c r="CW47" i="3" a="1"/>
  <c r="CW47" i="3" s="1"/>
  <c r="CP47" i="3" a="1"/>
  <c r="CP47" i="3" s="1"/>
  <c r="CP48" i="3" a="1"/>
  <c r="CP48" i="3" s="1"/>
  <c r="CW48" i="3" a="1"/>
  <c r="CW48" i="3" s="1"/>
  <c r="CO47" i="3" a="1"/>
  <c r="CO47" i="3" s="1"/>
  <c r="CZ47" i="3" a="1"/>
  <c r="CZ47" i="3" s="1"/>
  <c r="DA48" i="3" a="1"/>
  <c r="DA48" i="3" s="1"/>
  <c r="DD47" i="3" a="1"/>
  <c r="DD47" i="3" s="1"/>
  <c r="CM47" i="3" a="1"/>
  <c r="CM47" i="3" s="1"/>
  <c r="CU49" i="3" a="1"/>
  <c r="CU49" i="3" s="1"/>
  <c r="DF47" i="3" a="1"/>
  <c r="DF47" i="3" s="1"/>
  <c r="CT48" i="3" a="1"/>
  <c r="CT48" i="3" s="1"/>
  <c r="DC48" i="3" a="1"/>
  <c r="DC48" i="3" s="1"/>
  <c r="CN47" i="3" a="1"/>
  <c r="CN47" i="3" s="1"/>
  <c r="DE49" i="3" a="1"/>
  <c r="DE49" i="3" s="1"/>
  <c r="DA49" i="3" a="1"/>
  <c r="DA49" i="3" s="1"/>
  <c r="CO46" i="3" a="1"/>
  <c r="CO46" i="3" s="1"/>
  <c r="CT46" i="3"/>
  <c r="CZ48" i="3" a="1"/>
  <c r="CZ48" i="3" s="1"/>
  <c r="DD48" i="3" a="1"/>
  <c r="DD48" i="3" s="1"/>
  <c r="CV49" i="3" a="1"/>
  <c r="CV49" i="3" s="1"/>
  <c r="DG48" i="3" a="1"/>
  <c r="DG48" i="3" s="1"/>
  <c r="DF48" i="3" a="1"/>
  <c r="DF48" i="3" s="1"/>
  <c r="CZ46" i="3" a="1"/>
  <c r="CZ46" i="3" s="1"/>
  <c r="CV48" i="3" a="1"/>
  <c r="CV48" i="3" s="1"/>
  <c r="DB49" i="3" a="1"/>
  <c r="DB49" i="3" s="1"/>
  <c r="CL48" i="3" a="1"/>
  <c r="CL48" i="3" s="1"/>
  <c r="CV46" i="3" a="1"/>
  <c r="CV46" i="3" s="1"/>
  <c r="DG49" i="3" a="1"/>
  <c r="DG49" i="3" s="1"/>
  <c r="CL47" i="3" a="1"/>
  <c r="CL47" i="3" s="1"/>
  <c r="DC49" i="3" a="1"/>
  <c r="DC49" i="3" s="1"/>
  <c r="DF46" i="3" a="1"/>
  <c r="DF46" i="3" s="1"/>
  <c r="CX46" i="3" a="1"/>
  <c r="CX46" i="3" s="1"/>
  <c r="DA46" i="3" a="1"/>
  <c r="DA46" i="3" s="1"/>
  <c r="CM48" i="3" a="1"/>
  <c r="CM48" i="3" s="1"/>
  <c r="CQ46" i="3" a="1"/>
  <c r="CQ46" i="3" s="1"/>
  <c r="DB47" i="3" a="1"/>
  <c r="DB47" i="3" s="1"/>
  <c r="CL49" i="3" a="1"/>
  <c r="CL49" i="3" s="1"/>
  <c r="CT49" i="3" a="1"/>
  <c r="CT49" i="3" s="1"/>
  <c r="DE48" i="3" a="1"/>
  <c r="DE48" i="3" s="1"/>
  <c r="CS46" i="3" a="1"/>
  <c r="CS46" i="3" s="1"/>
  <c r="DD49" i="3" a="1"/>
  <c r="DD49" i="3" s="1"/>
  <c r="CY46" i="3" a="1"/>
  <c r="CY46" i="3" s="1"/>
  <c r="DG47" i="3" a="1"/>
  <c r="DG47" i="3" s="1"/>
  <c r="DG46" i="3" a="1"/>
  <c r="DG46" i="3" s="1"/>
  <c r="DE46" i="3" a="1"/>
  <c r="DE46" i="3" s="1"/>
  <c r="DC46" i="3" a="1"/>
  <c r="DC46" i="3" s="1"/>
  <c r="CU46" i="3" a="1"/>
  <c r="CU46" i="3" s="1"/>
  <c r="CT47" i="3" a="1"/>
  <c r="CT47" i="3" s="1"/>
  <c r="DB48" i="3" a="1"/>
  <c r="DB48" i="3" s="1"/>
  <c r="CW46" i="3" a="1"/>
  <c r="CW46" i="3" s="1"/>
  <c r="CN46" i="3" a="1"/>
  <c r="CN46" i="3" s="1"/>
  <c r="CM46" i="3" a="1"/>
  <c r="CM46" i="3" s="1"/>
  <c r="DC47" i="3" a="1"/>
  <c r="DC47" i="3" s="1"/>
  <c r="CZ49" i="3" a="1"/>
  <c r="CZ49" i="3" s="1"/>
  <c r="CR46" i="3" a="1"/>
  <c r="CR46" i="3" s="1"/>
  <c r="DE47" i="3" a="1"/>
  <c r="DE47" i="3" s="1"/>
  <c r="CV47" i="3" a="1"/>
  <c r="CV47" i="3" s="1"/>
  <c r="CM49" i="3" a="1"/>
  <c r="CM49" i="3" s="1"/>
  <c r="DD46" i="3" a="1"/>
  <c r="DD46" i="3" s="1"/>
  <c r="CL46" i="3" a="1"/>
  <c r="CL46" i="3" s="1"/>
  <c r="DB46" i="3" a="1"/>
  <c r="DB46" i="3" s="1"/>
  <c r="DA47" i="3" a="1"/>
  <c r="DA47" i="3" s="1"/>
  <c r="CU48" i="3" a="1"/>
  <c r="CU48" i="3" s="1"/>
  <c r="DF49" i="3" a="1"/>
  <c r="DF49" i="3" s="1"/>
  <c r="CU47" i="3" a="1"/>
  <c r="CU47" i="3" s="1"/>
  <c r="CR49" i="3" a="1"/>
  <c r="CR49" i="3" s="1"/>
  <c r="CN48" i="3" a="1"/>
  <c r="CN48" i="3" s="1"/>
  <c r="CN49" i="3" a="1"/>
  <c r="CN49" i="3" s="1"/>
  <c r="CY48" i="3" a="1"/>
  <c r="CY48" i="3" s="1"/>
  <c r="CS48" i="3" a="1"/>
  <c r="CS48" i="3" s="1"/>
  <c r="CO48" i="3" a="1"/>
  <c r="CO48" i="3" s="1"/>
  <c r="CR48" i="3" a="1"/>
  <c r="CR48" i="3" s="1"/>
  <c r="AB46" i="3"/>
  <c r="AA45" i="3"/>
  <c r="CP41" i="3" a="1"/>
  <c r="CP41" i="3" s="1"/>
  <c r="CR39" i="3" a="1"/>
  <c r="CR39" i="3" s="1"/>
  <c r="CW40" i="3" a="1"/>
  <c r="CW40" i="3" s="1"/>
  <c r="CX41" i="3" a="1"/>
  <c r="CX41" i="3" s="1"/>
  <c r="CW41" i="3" a="1"/>
  <c r="CW41" i="3" s="1"/>
  <c r="CQ39" i="3" a="1"/>
  <c r="CQ39" i="3" s="1"/>
  <c r="CX40" i="3" a="1"/>
  <c r="CX40" i="3" s="1"/>
  <c r="CP40" i="3" a="1"/>
  <c r="CP40" i="3" s="1"/>
  <c r="CY39" i="3" a="1"/>
  <c r="CY39" i="3" s="1"/>
  <c r="CP39" i="3" a="1"/>
  <c r="CP39" i="3" s="1"/>
  <c r="CW39" i="3" a="1"/>
  <c r="CW39" i="3" s="1"/>
  <c r="CX39" i="3" a="1"/>
  <c r="CX39" i="3" s="1"/>
  <c r="CS39" i="3" a="1"/>
  <c r="CS39" i="3" s="1"/>
  <c r="CP38" i="3" a="1"/>
  <c r="CP38" i="3" s="1"/>
  <c r="CQ40" i="3" a="1"/>
  <c r="CQ40" i="3" s="1"/>
  <c r="CS38" i="3" a="1"/>
  <c r="CS38" i="3" s="1"/>
  <c r="CV41" i="3" a="1"/>
  <c r="CV41" i="3" s="1"/>
  <c r="DD38" i="3" a="1"/>
  <c r="DD38" i="3" s="1"/>
  <c r="DC40" i="3" a="1"/>
  <c r="DC40" i="3" s="1"/>
  <c r="DG38" i="3" a="1"/>
  <c r="DG38" i="3" s="1"/>
  <c r="DD39" i="3" a="1"/>
  <c r="DD39" i="3" s="1"/>
  <c r="DB40" i="3" a="1"/>
  <c r="DB40" i="3" s="1"/>
  <c r="DA41" i="3" a="1"/>
  <c r="DA41" i="3" s="1"/>
  <c r="DB39" i="3" a="1"/>
  <c r="DB39" i="3" s="1"/>
  <c r="CZ38" i="3" a="1"/>
  <c r="CZ38" i="3" s="1"/>
  <c r="CU40" i="3" a="1"/>
  <c r="CU40" i="3" s="1"/>
  <c r="CL38" i="3" a="1"/>
  <c r="CL38" i="3" s="1"/>
  <c r="DF39" i="3" a="1"/>
  <c r="DF39" i="3" s="1"/>
  <c r="CO39" i="3" a="1"/>
  <c r="CO39" i="3" s="1"/>
  <c r="DC39" i="3" a="1"/>
  <c r="DC39" i="3" s="1"/>
  <c r="CO38" i="3" a="1"/>
  <c r="CO38" i="3" s="1"/>
  <c r="DF41" i="3" a="1"/>
  <c r="DF41" i="3" s="1"/>
  <c r="CR38" i="3" a="1"/>
  <c r="CR38" i="3" s="1"/>
  <c r="CU41" i="3" a="1"/>
  <c r="CU41" i="3" s="1"/>
  <c r="CM39" i="3" a="1"/>
  <c r="CM39" i="3" s="1"/>
  <c r="CY38" i="3" a="1"/>
  <c r="CY38" i="3" s="1"/>
  <c r="CL40" i="3" a="1"/>
  <c r="CL40" i="3" s="1"/>
  <c r="CM40" i="3" a="1"/>
  <c r="CM40" i="3" s="1"/>
  <c r="DE39" i="3" a="1"/>
  <c r="DE39" i="3" s="1"/>
  <c r="CT41" i="3" a="1"/>
  <c r="CT41" i="3" s="1"/>
  <c r="CQ38" i="3" a="1"/>
  <c r="CQ38" i="3" s="1"/>
  <c r="CX38" i="3" a="1"/>
  <c r="CX38" i="3" s="1"/>
  <c r="DC38" i="3" a="1"/>
  <c r="DC38" i="3" s="1"/>
  <c r="DC41" i="3" a="1"/>
  <c r="DC41" i="3" s="1"/>
  <c r="DE38" i="3" a="1"/>
  <c r="DE38" i="3" s="1"/>
  <c r="DG40" i="3" a="1"/>
  <c r="DG40" i="3" s="1"/>
  <c r="CZ41" i="3" a="1"/>
  <c r="CZ41" i="3" s="1"/>
  <c r="DA39" i="3" a="1"/>
  <c r="DA39" i="3" s="1"/>
  <c r="DF40" i="3" a="1"/>
  <c r="DF40" i="3" s="1"/>
  <c r="DD41" i="3" a="1"/>
  <c r="DD41" i="3" s="1"/>
  <c r="CU38" i="3" a="1"/>
  <c r="CU38" i="3" s="1"/>
  <c r="CZ40" i="3" a="1"/>
  <c r="CZ40" i="3" s="1"/>
  <c r="CW38" i="3" a="1"/>
  <c r="CW38" i="3" s="1"/>
  <c r="CT39" i="3" a="1"/>
  <c r="CT39" i="3" s="1"/>
  <c r="CV40" i="3" a="1"/>
  <c r="CV40" i="3" s="1"/>
  <c r="CL39" i="3" a="1"/>
  <c r="CL39" i="3" s="1"/>
  <c r="CL41" i="3" a="1"/>
  <c r="CL41" i="3" s="1"/>
  <c r="DE40" i="3" a="1"/>
  <c r="DE40" i="3" s="1"/>
  <c r="CZ39" i="3" a="1"/>
  <c r="CZ39" i="3" s="1"/>
  <c r="DD40" i="3" a="1"/>
  <c r="DD40" i="3" s="1"/>
  <c r="DB41" i="3" a="1"/>
  <c r="DB41" i="3" s="1"/>
  <c r="DA38" i="3" a="1"/>
  <c r="DA38" i="3" s="1"/>
  <c r="CV39" i="3" a="1"/>
  <c r="CV39" i="3" s="1"/>
  <c r="CT38" i="3" a="1"/>
  <c r="CT38" i="3" s="1"/>
  <c r="CN39" i="3" a="1"/>
  <c r="CN39" i="3" s="1"/>
  <c r="DG41" i="3" a="1"/>
  <c r="DG41" i="3" s="1"/>
  <c r="CU39" i="3" a="1"/>
  <c r="CU39" i="3" s="1"/>
  <c r="DB38" i="3" a="1"/>
  <c r="DB38" i="3" s="1"/>
  <c r="CV38" i="3" a="1"/>
  <c r="CV38" i="3" s="1"/>
  <c r="CM41" i="3" a="1"/>
  <c r="CM41" i="3" s="1"/>
  <c r="CT40" i="3" a="1"/>
  <c r="CT40" i="3" s="1"/>
  <c r="DE41" i="3" a="1"/>
  <c r="DE41" i="3" s="1"/>
  <c r="DG39" i="3" a="1"/>
  <c r="DG39" i="3" s="1"/>
  <c r="CN38" i="3" a="1"/>
  <c r="CN38" i="3" s="1"/>
  <c r="DF38" i="3" a="1"/>
  <c r="DF38" i="3" s="1"/>
  <c r="CM38" i="3" a="1"/>
  <c r="CM38" i="3" s="1"/>
  <c r="DA40" i="3" a="1"/>
  <c r="DA40" i="3" s="1"/>
  <c r="CX28" i="3"/>
  <c r="CM28" i="3"/>
  <c r="AB38" i="3"/>
  <c r="AA37" i="3"/>
  <c r="CS40" i="3" a="1"/>
  <c r="CS40" i="3" s="1"/>
  <c r="CY40" i="3" a="1"/>
  <c r="CY40" i="3" s="1"/>
  <c r="CO40" i="3" a="1"/>
  <c r="CO40" i="3" s="1"/>
  <c r="CR41" i="3" a="1"/>
  <c r="CR41" i="3" s="1"/>
  <c r="CR40" i="3" a="1"/>
  <c r="CR40" i="3" s="1"/>
  <c r="CN40" i="3" a="1"/>
  <c r="CN40" i="3" s="1"/>
  <c r="CN41" i="3" a="1"/>
  <c r="CN41" i="3" s="1"/>
  <c r="CO41" i="3" a="1"/>
  <c r="CO41" i="3" s="1"/>
  <c r="CQ41" i="3" a="1"/>
  <c r="CQ41" i="3" s="1"/>
  <c r="CY41" i="3" a="1"/>
  <c r="CY41" i="3" s="1"/>
  <c r="CS41" i="3" a="1"/>
  <c r="CS41" i="3" s="1"/>
  <c r="CT28" i="3"/>
  <c r="CO28" i="3"/>
  <c r="DG28" i="3"/>
  <c r="DA28" i="3"/>
  <c r="CP28" i="3"/>
  <c r="CQ28" i="3"/>
  <c r="CR28" i="3"/>
  <c r="CS28" i="3"/>
  <c r="CU28" i="3"/>
  <c r="CW28" i="3"/>
  <c r="CZ28" i="3"/>
  <c r="DF28" i="3"/>
  <c r="DC28" i="3"/>
  <c r="CL28" i="3"/>
  <c r="CY28" i="3"/>
  <c r="DB28" i="3"/>
  <c r="CN28" i="3"/>
  <c r="CV28" i="3"/>
  <c r="AU30" i="3"/>
  <c r="AU32" i="3"/>
  <c r="AU31" i="3"/>
  <c r="AU33" i="3"/>
  <c r="DD28" i="3"/>
  <c r="CS24" i="3" a="1"/>
  <c r="CS24" i="3" s="1"/>
  <c r="CN25" i="3" a="1"/>
  <c r="CN25" i="3" s="1"/>
  <c r="CN24" i="3" a="1"/>
  <c r="CN24" i="3" s="1"/>
  <c r="CR25" i="3" a="1"/>
  <c r="CR25" i="3" s="1"/>
  <c r="CO24" i="3" a="1"/>
  <c r="CO24" i="3" s="1"/>
  <c r="CY24" i="3" a="1"/>
  <c r="CY24" i="3" s="1"/>
  <c r="CR24" i="3" a="1"/>
  <c r="CR24" i="3" s="1"/>
  <c r="AB22" i="3"/>
  <c r="AA21" i="3"/>
  <c r="CL24" i="3" a="1"/>
  <c r="CL24" i="3" s="1"/>
  <c r="DB25" i="3" a="1"/>
  <c r="DB25" i="3" s="1"/>
  <c r="CZ25" i="3" a="1"/>
  <c r="CZ25" i="3" s="1"/>
  <c r="DG22" i="3" a="1"/>
  <c r="DG22" i="3" s="1"/>
  <c r="CQ22" i="3" a="1"/>
  <c r="CQ22" i="3" s="1"/>
  <c r="DG23" i="3" a="1"/>
  <c r="DG23" i="3" s="1"/>
  <c r="CU24" i="3" a="1"/>
  <c r="CU24" i="3" s="1"/>
  <c r="DE23" i="3" a="1"/>
  <c r="DE23" i="3" s="1"/>
  <c r="DB23" i="3" a="1"/>
  <c r="DB23" i="3" s="1"/>
  <c r="CM24" i="3" a="1"/>
  <c r="CM24" i="3" s="1"/>
  <c r="DD23" i="3" a="1"/>
  <c r="DD23" i="3" s="1"/>
  <c r="DD22" i="3" a="1"/>
  <c r="DD22" i="3" s="1"/>
  <c r="DF24" i="3" a="1"/>
  <c r="DF24" i="3" s="1"/>
  <c r="CZ22" i="3" a="1"/>
  <c r="CZ22" i="3" s="1"/>
  <c r="DA22" i="3" a="1"/>
  <c r="DA22" i="3" s="1"/>
  <c r="DF23" i="3" a="1"/>
  <c r="DF23" i="3" s="1"/>
  <c r="CO22" i="3" a="1"/>
  <c r="CO22" i="3" s="1"/>
  <c r="DE24" i="3" a="1"/>
  <c r="DE24" i="3" s="1"/>
  <c r="CM22" i="3" a="1"/>
  <c r="CM22" i="3" s="1"/>
  <c r="CU25" i="3" a="1"/>
  <c r="CU25" i="3" s="1"/>
  <c r="DD24" i="3" a="1"/>
  <c r="DD24" i="3" s="1"/>
  <c r="DA25" i="3" a="1"/>
  <c r="DA25" i="3" s="1"/>
  <c r="CV25" i="3" a="1"/>
  <c r="CV25" i="3" s="1"/>
  <c r="CM23" i="3" a="1"/>
  <c r="CM23" i="3" s="1"/>
  <c r="CO23" i="3" a="1"/>
  <c r="CO23" i="3" s="1"/>
  <c r="CZ24" i="3" a="1"/>
  <c r="CZ24" i="3" s="1"/>
  <c r="CV23" i="3" a="1"/>
  <c r="CV23" i="3" s="1"/>
  <c r="DC22" i="3" a="1"/>
  <c r="DC22" i="3" s="1"/>
  <c r="CV24" i="3" a="1"/>
  <c r="CV24" i="3" s="1"/>
  <c r="DA23" i="3" a="1"/>
  <c r="DA23" i="3" s="1"/>
  <c r="CR22" i="3" a="1"/>
  <c r="CR22" i="3" s="1"/>
  <c r="CT25" i="3" a="1"/>
  <c r="CT25" i="3" s="1"/>
  <c r="CL22" i="3" a="1"/>
  <c r="CL22" i="3" s="1"/>
  <c r="DB22" i="3" a="1"/>
  <c r="DB22" i="3" s="1"/>
  <c r="DG24" i="3" a="1"/>
  <c r="DG24" i="3" s="1"/>
  <c r="CT24" i="3" a="1"/>
  <c r="CT24" i="3" s="1"/>
  <c r="CW22" i="3" a="1"/>
  <c r="CW22" i="3" s="1"/>
  <c r="DC23" i="3" a="1"/>
  <c r="DC23" i="3" s="1"/>
  <c r="CV22" i="3" a="1"/>
  <c r="CV22" i="3" s="1"/>
  <c r="CU22" i="3" a="1"/>
  <c r="CU22" i="3" s="1"/>
  <c r="DE25" i="3" a="1"/>
  <c r="DE25" i="3" s="1"/>
  <c r="DA24" i="3" a="1"/>
  <c r="DA24" i="3" s="1"/>
  <c r="DD25" i="3" a="1"/>
  <c r="DD25" i="3" s="1"/>
  <c r="DC24" i="3" a="1"/>
  <c r="DC24" i="3" s="1"/>
  <c r="CT22" i="3" a="1"/>
  <c r="CT22" i="3" s="1"/>
  <c r="CN23" i="3" a="1"/>
  <c r="CN23" i="3" s="1"/>
  <c r="CU23" i="3" a="1"/>
  <c r="CU23" i="3" s="1"/>
  <c r="CM25" i="3" a="1"/>
  <c r="CM25" i="3" s="1"/>
  <c r="CT23" i="3" a="1"/>
  <c r="CT23" i="3" s="1"/>
  <c r="DE22" i="3" a="1"/>
  <c r="DE22" i="3" s="1"/>
  <c r="CY22" i="3" a="1"/>
  <c r="CY22" i="3" s="1"/>
  <c r="DC25" i="3" a="1"/>
  <c r="DC25" i="3" s="1"/>
  <c r="CN22" i="3" a="1"/>
  <c r="CN22" i="3" s="1"/>
  <c r="CX22" i="3" a="1"/>
  <c r="CX22" i="3" s="1"/>
  <c r="CL23" i="3" a="1"/>
  <c r="CL23" i="3" s="1"/>
  <c r="DB24" i="3" a="1"/>
  <c r="DB24" i="3" s="1"/>
  <c r="CS22" i="3" a="1"/>
  <c r="CS22" i="3" s="1"/>
  <c r="DF22" i="3" a="1"/>
  <c r="DF22" i="3" s="1"/>
  <c r="DF25" i="3" a="1"/>
  <c r="DF25" i="3" s="1"/>
  <c r="CL25" i="3" a="1"/>
  <c r="CL25" i="3" s="1"/>
  <c r="DG25" i="3" a="1"/>
  <c r="DG25" i="3" s="1"/>
  <c r="CZ23" i="3" a="1"/>
  <c r="CZ23" i="3" s="1"/>
  <c r="CY25" i="3" a="1"/>
  <c r="CY25" i="3" s="1"/>
  <c r="CQ25" i="3" a="1"/>
  <c r="CQ25" i="3" s="1"/>
  <c r="CO25" i="3" a="1"/>
  <c r="CO25" i="3" s="1"/>
  <c r="CS25" i="3" a="1"/>
  <c r="CS25" i="3" s="1"/>
  <c r="CS23" i="3" a="1"/>
  <c r="CS23" i="3" s="1"/>
  <c r="CR23" i="3" a="1"/>
  <c r="CR23" i="3" s="1"/>
  <c r="CX23" i="3" a="1"/>
  <c r="CX23" i="3" s="1"/>
  <c r="CQ23" i="3" a="1"/>
  <c r="CQ23" i="3" s="1"/>
  <c r="CW25" i="3" a="1"/>
  <c r="CW25" i="3" s="1"/>
  <c r="CP24" i="3" a="1"/>
  <c r="CP24" i="3" s="1"/>
  <c r="CQ24" i="3" a="1"/>
  <c r="CQ24" i="3" s="1"/>
  <c r="CY23" i="3" a="1"/>
  <c r="CY23" i="3" s="1"/>
  <c r="CP25" i="3" a="1"/>
  <c r="CP25" i="3" s="1"/>
  <c r="CP22" i="3" a="1"/>
  <c r="CP22" i="3" s="1"/>
  <c r="CW24" i="3" a="1"/>
  <c r="CW24" i="3" s="1"/>
  <c r="CX24" i="3" a="1"/>
  <c r="CX24" i="3" s="1"/>
  <c r="CX25" i="3" a="1"/>
  <c r="CX25" i="3" s="1"/>
  <c r="CP23" i="3" a="1"/>
  <c r="CP23" i="3" s="1"/>
  <c r="CW23" i="3" a="1"/>
  <c r="CW23" i="3" s="1"/>
  <c r="CR12" i="3"/>
  <c r="CS12" i="3"/>
  <c r="CU4" i="3"/>
  <c r="AU16" i="3"/>
  <c r="AU14" i="3"/>
  <c r="AU15" i="3"/>
  <c r="AU17" i="3"/>
  <c r="CY4" i="3"/>
  <c r="DD4" i="3"/>
  <c r="CV4" i="3"/>
  <c r="DF4" i="3"/>
  <c r="CO4" i="3"/>
  <c r="DB4" i="3"/>
  <c r="CP4" i="3"/>
  <c r="CL4" i="3"/>
  <c r="CS4" i="3"/>
  <c r="DC4" i="3"/>
  <c r="CR4" i="3"/>
  <c r="DA4" i="3"/>
  <c r="AU8" i="3"/>
  <c r="AU7" i="3"/>
  <c r="AU6" i="3"/>
  <c r="AU9" i="3"/>
  <c r="CZ4" i="3"/>
  <c r="CW4" i="3"/>
  <c r="CQ4" i="3"/>
  <c r="CT4" i="3"/>
  <c r="CM4" i="3"/>
  <c r="DE4" i="3"/>
  <c r="CN4" i="3"/>
  <c r="CX4" i="3"/>
  <c r="DG4" i="3"/>
  <c r="CO12" i="3" l="1"/>
  <c r="DA12" i="3"/>
  <c r="CW12" i="3"/>
  <c r="DE12" i="3"/>
  <c r="CL12" i="3"/>
  <c r="CN12" i="3"/>
  <c r="DD12" i="3"/>
  <c r="CY12" i="3"/>
  <c r="CT12" i="3"/>
  <c r="CU12" i="3"/>
  <c r="DG12" i="3"/>
  <c r="DF12" i="3"/>
  <c r="CM12" i="3"/>
  <c r="CP12" i="3"/>
  <c r="DD60" i="3"/>
  <c r="CZ60" i="3"/>
  <c r="DB12" i="3"/>
  <c r="CV12" i="3"/>
  <c r="DC12" i="3"/>
  <c r="CZ12" i="3"/>
  <c r="CM60" i="3"/>
  <c r="CY60" i="3"/>
  <c r="CL60" i="3"/>
  <c r="CQ60" i="3"/>
  <c r="DA60" i="3"/>
  <c r="CP60" i="3"/>
  <c r="DB60" i="3"/>
  <c r="CU60" i="3"/>
  <c r="CT60" i="3"/>
  <c r="CR60" i="3"/>
  <c r="CX60" i="3"/>
  <c r="CO60" i="3"/>
  <c r="DC60" i="3"/>
  <c r="DG60" i="3"/>
  <c r="DF60" i="3"/>
  <c r="CV60" i="3"/>
  <c r="CS60" i="3"/>
  <c r="CN60" i="3"/>
  <c r="AU62" i="3"/>
  <c r="AU64" i="3"/>
  <c r="AU63" i="3"/>
  <c r="AU65" i="3"/>
  <c r="DE60" i="3"/>
  <c r="CW60" i="3"/>
  <c r="AG56" i="3"/>
  <c r="AG55" i="3"/>
  <c r="CW44" i="3"/>
  <c r="CW36" i="3"/>
  <c r="CR44" i="3"/>
  <c r="DF44" i="3"/>
  <c r="AG57" i="3"/>
  <c r="AG54" i="3"/>
  <c r="CI54" i="3"/>
  <c r="CO44" i="3"/>
  <c r="CX44" i="3"/>
  <c r="CY44" i="3"/>
  <c r="DF36" i="3"/>
  <c r="CT44" i="3"/>
  <c r="CP36" i="3"/>
  <c r="CM44" i="3"/>
  <c r="CS44" i="3"/>
  <c r="CN44" i="3"/>
  <c r="CV44" i="3"/>
  <c r="CP44" i="3"/>
  <c r="AU46" i="3"/>
  <c r="AU49" i="3"/>
  <c r="AU48" i="3"/>
  <c r="AU47" i="3"/>
  <c r="DB44" i="3"/>
  <c r="CL44" i="3"/>
  <c r="CV36" i="3"/>
  <c r="DD44" i="3"/>
  <c r="CU44" i="3"/>
  <c r="CQ44" i="3"/>
  <c r="CZ44" i="3"/>
  <c r="DC44" i="3"/>
  <c r="DE44" i="3"/>
  <c r="DA44" i="3"/>
  <c r="DG44" i="3"/>
  <c r="CY36" i="3"/>
  <c r="CN36" i="3"/>
  <c r="DE36" i="3"/>
  <c r="CR36" i="3"/>
  <c r="AU38" i="3"/>
  <c r="AU39" i="3"/>
  <c r="AU41" i="3"/>
  <c r="AU40" i="3"/>
  <c r="DB36" i="3"/>
  <c r="DG36" i="3"/>
  <c r="DC36" i="3"/>
  <c r="CO36" i="3"/>
  <c r="CX36" i="3"/>
  <c r="DD36" i="3"/>
  <c r="CQ36" i="3"/>
  <c r="CM36" i="3"/>
  <c r="CT36" i="3"/>
  <c r="CS36" i="3"/>
  <c r="CU36" i="3"/>
  <c r="CL36" i="3"/>
  <c r="DA36" i="3"/>
  <c r="CZ36" i="3"/>
  <c r="AG33" i="3"/>
  <c r="AG31" i="3"/>
  <c r="AG30" i="3"/>
  <c r="AG32" i="3"/>
  <c r="CI30" i="3"/>
  <c r="CV20" i="3"/>
  <c r="DB20" i="3"/>
  <c r="CR20" i="3"/>
  <c r="CP20" i="3"/>
  <c r="CN20" i="3"/>
  <c r="CU20" i="3"/>
  <c r="DA20" i="3"/>
  <c r="DE20" i="3"/>
  <c r="CZ20" i="3"/>
  <c r="CY20" i="3"/>
  <c r="CW20" i="3"/>
  <c r="DD20" i="3"/>
  <c r="AU22" i="3"/>
  <c r="AU24" i="3"/>
  <c r="AU25" i="3"/>
  <c r="AU23" i="3"/>
  <c r="DF20" i="3"/>
  <c r="CS20" i="3"/>
  <c r="CT20" i="3"/>
  <c r="CL20" i="3"/>
  <c r="CM20" i="3"/>
  <c r="CX20" i="3"/>
  <c r="CO20" i="3"/>
  <c r="CQ20" i="3"/>
  <c r="DC20" i="3"/>
  <c r="DG20" i="3"/>
  <c r="AG17" i="3"/>
  <c r="AG15" i="3"/>
  <c r="AG14" i="3"/>
  <c r="AG16" i="3"/>
  <c r="CI6" i="3"/>
  <c r="CH8" i="3" s="1" a="1"/>
  <c r="CH8" i="3" s="1"/>
  <c r="AG9" i="3"/>
  <c r="AG6" i="3"/>
  <c r="AG7" i="3"/>
  <c r="AG8" i="3"/>
  <c r="CI14" i="3" l="1"/>
  <c r="AG62" i="3"/>
  <c r="R62" i="3" s="1"/>
  <c r="CI62" i="3"/>
  <c r="CH64" i="3" s="1" a="1"/>
  <c r="CH64" i="3" s="1"/>
  <c r="AG65" i="3"/>
  <c r="AG63" i="3"/>
  <c r="AG64" i="3"/>
  <c r="AG46" i="3"/>
  <c r="R48" i="3" s="1"/>
  <c r="CH55" i="3" a="1"/>
  <c r="CH55" i="3" s="1"/>
  <c r="CH57" i="3" a="1"/>
  <c r="CH57" i="3" s="1"/>
  <c r="CH54" i="3" a="1"/>
  <c r="CH54" i="3" s="1"/>
  <c r="CH56" i="3" a="1"/>
  <c r="CH56" i="3" s="1"/>
  <c r="R54" i="3"/>
  <c r="I74" i="3"/>
  <c r="N80" i="3" s="1"/>
  <c r="N86" i="3" s="1"/>
  <c r="N76" i="3"/>
  <c r="R55" i="3"/>
  <c r="R56" i="3"/>
  <c r="R57" i="3"/>
  <c r="AG48" i="3"/>
  <c r="AG49" i="3"/>
  <c r="CI46" i="3"/>
  <c r="AG47" i="3"/>
  <c r="AG39" i="3"/>
  <c r="CI38" i="3"/>
  <c r="AG40" i="3"/>
  <c r="AG41" i="3"/>
  <c r="AG38" i="3"/>
  <c r="CH31" i="3" a="1"/>
  <c r="CH31" i="3" s="1"/>
  <c r="CH30" i="3" a="1"/>
  <c r="CH30" i="3" s="1"/>
  <c r="CH33" i="3" a="1"/>
  <c r="CH33" i="3" s="1"/>
  <c r="CH32" i="3" a="1"/>
  <c r="CH32" i="3" s="1"/>
  <c r="I71" i="3"/>
  <c r="N83" i="3" s="1"/>
  <c r="N70" i="3"/>
  <c r="R30" i="3"/>
  <c r="R32" i="3"/>
  <c r="R33" i="3"/>
  <c r="R31" i="3"/>
  <c r="AG23" i="3"/>
  <c r="AG25" i="3"/>
  <c r="AG24" i="3"/>
  <c r="AG22" i="3"/>
  <c r="CH9" i="3" a="1"/>
  <c r="CH9" i="3" s="1"/>
  <c r="CI22" i="3"/>
  <c r="CH7" i="3" a="1"/>
  <c r="CH7" i="3" s="1"/>
  <c r="CH6" i="3" a="1"/>
  <c r="CH6" i="3" s="1"/>
  <c r="R8" i="3"/>
  <c r="X8" i="3" s="1"/>
  <c r="L6" i="35" s="1"/>
  <c r="CH15" i="3" a="1"/>
  <c r="CH15" i="3" s="1"/>
  <c r="CH14" i="3" a="1"/>
  <c r="CH14" i="3" s="1"/>
  <c r="CH17" i="3" a="1"/>
  <c r="CH17" i="3" s="1"/>
  <c r="CH16" i="3" a="1"/>
  <c r="CH16" i="3" s="1"/>
  <c r="N69" i="3" a="1"/>
  <c r="N69" i="3" s="1"/>
  <c r="I72" i="3"/>
  <c r="I83" i="3" s="1"/>
  <c r="I87" i="3" s="1"/>
  <c r="R15" i="3"/>
  <c r="R14" i="3"/>
  <c r="R16" i="3"/>
  <c r="R17" i="3"/>
  <c r="I69" i="3"/>
  <c r="I81" i="3" s="1"/>
  <c r="N72" i="3"/>
  <c r="R6" i="3"/>
  <c r="R7" i="3"/>
  <c r="R9" i="3"/>
  <c r="AF15" i="35" l="1"/>
  <c r="O83" i="3"/>
  <c r="C135" i="31"/>
  <c r="V16" i="35"/>
  <c r="C136" i="31"/>
  <c r="O80" i="3"/>
  <c r="I76" i="3"/>
  <c r="N82" i="3" s="1"/>
  <c r="N87" i="3" s="1"/>
  <c r="AJ9" i="35"/>
  <c r="O71" i="3"/>
  <c r="C125" i="31"/>
  <c r="C119" i="31"/>
  <c r="O69" i="3"/>
  <c r="R8" i="35"/>
  <c r="AJ8" i="35"/>
  <c r="C131" i="31"/>
  <c r="O72" i="3"/>
  <c r="C121" i="31"/>
  <c r="B131" i="31"/>
  <c r="C124" i="31"/>
  <c r="R23" i="35"/>
  <c r="C122" i="31"/>
  <c r="O74" i="3"/>
  <c r="CH63" i="3" a="1"/>
  <c r="CH63" i="3" s="1"/>
  <c r="N74" i="3"/>
  <c r="N26" i="35" s="1"/>
  <c r="CH65" i="3" a="1"/>
  <c r="CH65" i="3" s="1"/>
  <c r="CH62" i="3" a="1"/>
  <c r="CH62" i="3" s="1"/>
  <c r="R65" i="3"/>
  <c r="Z62" i="3"/>
  <c r="AY25" i="35" s="1"/>
  <c r="T62" i="3"/>
  <c r="X62" i="3"/>
  <c r="AZ25" i="35" s="1"/>
  <c r="S62" i="3"/>
  <c r="AW25" i="35" s="1"/>
  <c r="W62" i="3"/>
  <c r="V62" i="3"/>
  <c r="U62" i="3"/>
  <c r="AV25" i="35"/>
  <c r="AF62" i="3"/>
  <c r="Y62" i="3"/>
  <c r="R64" i="3"/>
  <c r="R63" i="3"/>
  <c r="T57" i="3"/>
  <c r="AX21" i="35" s="1"/>
  <c r="X57" i="3"/>
  <c r="AZ21" i="35" s="1"/>
  <c r="V57" i="3"/>
  <c r="U57" i="3"/>
  <c r="AF57" i="3"/>
  <c r="Y57" i="3"/>
  <c r="W57" i="3"/>
  <c r="AV21" i="35"/>
  <c r="S57" i="3"/>
  <c r="AW21" i="35" s="1"/>
  <c r="Z57" i="3"/>
  <c r="AY21" i="35" s="1"/>
  <c r="T56" i="3"/>
  <c r="AX20" i="35" s="1"/>
  <c r="S56" i="3"/>
  <c r="AW20" i="35" s="1"/>
  <c r="AF56" i="3"/>
  <c r="U56" i="3"/>
  <c r="V56" i="3"/>
  <c r="X56" i="3"/>
  <c r="AZ20" i="35" s="1"/>
  <c r="W56" i="3"/>
  <c r="Y56" i="3"/>
  <c r="Z56" i="3"/>
  <c r="AY20" i="35" s="1"/>
  <c r="AV20" i="35"/>
  <c r="Z55" i="3"/>
  <c r="AY19" i="35" s="1"/>
  <c r="X55" i="3"/>
  <c r="AZ19" i="35" s="1"/>
  <c r="T55" i="3"/>
  <c r="AX19" i="35" s="1"/>
  <c r="Y55" i="3"/>
  <c r="AF55" i="3"/>
  <c r="V55" i="3"/>
  <c r="W55" i="3"/>
  <c r="U55" i="3"/>
  <c r="AV19" i="35"/>
  <c r="S55" i="3"/>
  <c r="AW19" i="35" s="1"/>
  <c r="AN26" i="35"/>
  <c r="C105" i="31"/>
  <c r="C115" i="31"/>
  <c r="N25" i="35"/>
  <c r="C95" i="31"/>
  <c r="AV18" i="35"/>
  <c r="V54" i="3"/>
  <c r="U54" i="3"/>
  <c r="S54" i="3"/>
  <c r="AW18" i="35" s="1"/>
  <c r="Y54" i="3"/>
  <c r="W54" i="3"/>
  <c r="AF54" i="3"/>
  <c r="T54" i="3"/>
  <c r="X54" i="3"/>
  <c r="AZ18" i="35" s="1"/>
  <c r="Z54" i="3"/>
  <c r="AY18" i="35" s="1"/>
  <c r="R46" i="3"/>
  <c r="V46" i="3" s="1"/>
  <c r="CH46" i="3" a="1"/>
  <c r="CH46" i="3" s="1"/>
  <c r="CH49" i="3" a="1"/>
  <c r="CH49" i="3" s="1"/>
  <c r="CH48" i="3" a="1"/>
  <c r="CH48" i="3" s="1"/>
  <c r="CH47" i="3" a="1"/>
  <c r="CH47" i="3" s="1"/>
  <c r="R49" i="3"/>
  <c r="Y48" i="3"/>
  <c r="W48" i="3"/>
  <c r="V48" i="3"/>
  <c r="AF48" i="3"/>
  <c r="X48" i="3"/>
  <c r="AZ13" i="35" s="1"/>
  <c r="AV13" i="35"/>
  <c r="S48" i="3"/>
  <c r="AW13" i="35" s="1"/>
  <c r="Z48" i="3"/>
  <c r="AY13" i="35" s="1"/>
  <c r="T48" i="3"/>
  <c r="AX13" i="35" s="1"/>
  <c r="U48" i="3"/>
  <c r="R47" i="3"/>
  <c r="N73" i="3"/>
  <c r="I80" i="3" s="1"/>
  <c r="C128" i="31" s="1"/>
  <c r="I75" i="3"/>
  <c r="W8" i="3"/>
  <c r="H6" i="35"/>
  <c r="I73" i="3"/>
  <c r="N75" i="3"/>
  <c r="R39" i="3"/>
  <c r="R41" i="3"/>
  <c r="R40" i="3"/>
  <c r="R38" i="3"/>
  <c r="CH41" i="3" a="1"/>
  <c r="CH41" i="3" s="1"/>
  <c r="CH38" i="3" a="1"/>
  <c r="CH38" i="3" s="1"/>
  <c r="CH40" i="3" a="1"/>
  <c r="CH40" i="3" s="1"/>
  <c r="CH39" i="3" a="1"/>
  <c r="CH39" i="3" s="1"/>
  <c r="H26" i="35"/>
  <c r="S31" i="3"/>
  <c r="I26" i="35" s="1"/>
  <c r="T31" i="3"/>
  <c r="J26" i="35" s="1"/>
  <c r="Z31" i="3"/>
  <c r="K26" i="35" s="1"/>
  <c r="X31" i="3"/>
  <c r="L26" i="35" s="1"/>
  <c r="V31" i="3"/>
  <c r="Y31" i="3"/>
  <c r="U31" i="3"/>
  <c r="AF31" i="3"/>
  <c r="W31" i="3"/>
  <c r="H28" i="35"/>
  <c r="S33" i="3"/>
  <c r="I28" i="35" s="1"/>
  <c r="Z33" i="3"/>
  <c r="K28" i="35" s="1"/>
  <c r="X33" i="3"/>
  <c r="L28" i="35" s="1"/>
  <c r="V33" i="3"/>
  <c r="AF33" i="3"/>
  <c r="Y33" i="3"/>
  <c r="T33" i="3"/>
  <c r="J28" i="35" s="1"/>
  <c r="U33" i="3"/>
  <c r="W33" i="3"/>
  <c r="H27" i="35"/>
  <c r="S32" i="3"/>
  <c r="I27" i="35" s="1"/>
  <c r="Z32" i="3"/>
  <c r="K27" i="35" s="1"/>
  <c r="X32" i="3"/>
  <c r="L27" i="35" s="1"/>
  <c r="T32" i="3"/>
  <c r="J27" i="35" s="1"/>
  <c r="U32" i="3"/>
  <c r="W32" i="3"/>
  <c r="Y32" i="3"/>
  <c r="AF32" i="3"/>
  <c r="V32" i="3"/>
  <c r="U30" i="3"/>
  <c r="W30" i="3"/>
  <c r="Y30" i="3"/>
  <c r="V30" i="3"/>
  <c r="AF30" i="3"/>
  <c r="Z30" i="3"/>
  <c r="K25" i="35" s="1"/>
  <c r="S30" i="3"/>
  <c r="I25" i="35" s="1"/>
  <c r="T30" i="3"/>
  <c r="X30" i="3"/>
  <c r="L25" i="35" s="1"/>
  <c r="H25" i="35"/>
  <c r="N12" i="35"/>
  <c r="C99" i="31"/>
  <c r="AN11" i="35"/>
  <c r="C92" i="31"/>
  <c r="T8" i="3"/>
  <c r="J6" i="35" s="1"/>
  <c r="V8" i="3"/>
  <c r="CH24" i="3" a="1"/>
  <c r="CH24" i="3" s="1"/>
  <c r="CH23" i="3" a="1"/>
  <c r="CH23" i="3" s="1"/>
  <c r="CH25" i="3" a="1"/>
  <c r="CH25" i="3" s="1"/>
  <c r="CH22" i="3" a="1"/>
  <c r="CH22" i="3" s="1"/>
  <c r="I70" i="3"/>
  <c r="N81" i="3" s="1"/>
  <c r="N71" i="3"/>
  <c r="R23" i="3"/>
  <c r="R24" i="3"/>
  <c r="R25" i="3"/>
  <c r="R22" i="3"/>
  <c r="U8" i="3"/>
  <c r="AF8" i="3"/>
  <c r="Y8" i="3"/>
  <c r="S8" i="3"/>
  <c r="I6" i="35" s="1"/>
  <c r="Z8" i="3"/>
  <c r="K6" i="35" s="1"/>
  <c r="V17" i="3"/>
  <c r="H14" i="35"/>
  <c r="S17" i="3"/>
  <c r="I14" i="35" s="1"/>
  <c r="Z17" i="3"/>
  <c r="K14" i="35" s="1"/>
  <c r="U17" i="3"/>
  <c r="X17" i="3"/>
  <c r="L14" i="35" s="1"/>
  <c r="T17" i="3"/>
  <c r="J14" i="35" s="1"/>
  <c r="Y17" i="3"/>
  <c r="AF17" i="3"/>
  <c r="W17" i="3"/>
  <c r="Y16" i="3"/>
  <c r="V16" i="3"/>
  <c r="T16" i="3"/>
  <c r="J13" i="35" s="1"/>
  <c r="AF16" i="3"/>
  <c r="U16" i="3"/>
  <c r="H13" i="35"/>
  <c r="W16" i="3"/>
  <c r="S16" i="3"/>
  <c r="I13" i="35" s="1"/>
  <c r="Z16" i="3"/>
  <c r="K13" i="35" s="1"/>
  <c r="X16" i="3"/>
  <c r="L13" i="35" s="1"/>
  <c r="U14" i="3"/>
  <c r="W14" i="3"/>
  <c r="S14" i="3"/>
  <c r="I11" i="35" s="1"/>
  <c r="V14" i="3"/>
  <c r="Y14" i="3"/>
  <c r="AF14" i="3"/>
  <c r="T14" i="3"/>
  <c r="Z14" i="3"/>
  <c r="K11" i="35" s="1"/>
  <c r="X14" i="3"/>
  <c r="L11" i="35" s="1"/>
  <c r="H11" i="35"/>
  <c r="AF15" i="3"/>
  <c r="U15" i="3"/>
  <c r="V15" i="3"/>
  <c r="T15" i="3"/>
  <c r="J12" i="35" s="1"/>
  <c r="Y15" i="3"/>
  <c r="S15" i="3"/>
  <c r="I12" i="35" s="1"/>
  <c r="Z15" i="3"/>
  <c r="K12" i="35" s="1"/>
  <c r="X15" i="3"/>
  <c r="L12" i="35" s="1"/>
  <c r="H12" i="35"/>
  <c r="W15" i="3"/>
  <c r="AN5" i="35"/>
  <c r="C93" i="31"/>
  <c r="N6" i="35"/>
  <c r="C98" i="31"/>
  <c r="C108" i="31"/>
  <c r="N5" i="35"/>
  <c r="C90" i="31"/>
  <c r="B108" i="31"/>
  <c r="AN6" i="35"/>
  <c r="C101" i="31"/>
  <c r="C111" i="31"/>
  <c r="B111" i="31"/>
  <c r="W9" i="3"/>
  <c r="Y9" i="3"/>
  <c r="AF9" i="3"/>
  <c r="U9" i="3"/>
  <c r="H7" i="35"/>
  <c r="S9" i="3"/>
  <c r="I7" i="35" s="1"/>
  <c r="T9" i="3"/>
  <c r="J7" i="35" s="1"/>
  <c r="Z9" i="3"/>
  <c r="K7" i="35" s="1"/>
  <c r="X9" i="3"/>
  <c r="L7" i="35" s="1"/>
  <c r="V9" i="3"/>
  <c r="H5" i="35"/>
  <c r="U7" i="3"/>
  <c r="AF7" i="3"/>
  <c r="Y7" i="3"/>
  <c r="W7" i="3"/>
  <c r="V7" i="3"/>
  <c r="Z7" i="3"/>
  <c r="K5" i="35" s="1"/>
  <c r="X7" i="3"/>
  <c r="L5" i="35" s="1"/>
  <c r="T7" i="3"/>
  <c r="J5" i="35" s="1"/>
  <c r="S7" i="3"/>
  <c r="I5" i="35" s="1"/>
  <c r="Z6" i="3"/>
  <c r="K4" i="35" s="1"/>
  <c r="S6" i="3"/>
  <c r="I4" i="35" s="1"/>
  <c r="H4" i="35"/>
  <c r="T6" i="3"/>
  <c r="X6" i="3"/>
  <c r="L4" i="35" s="1"/>
  <c r="V6" i="3"/>
  <c r="Y6" i="3"/>
  <c r="W6" i="3"/>
  <c r="AF6" i="3"/>
  <c r="U6" i="3"/>
  <c r="O82" i="3" l="1"/>
  <c r="B141" i="31"/>
  <c r="C137" i="31"/>
  <c r="C141" i="31"/>
  <c r="AF16" i="35"/>
  <c r="C129" i="31"/>
  <c r="I86" i="3"/>
  <c r="I82" i="3"/>
  <c r="AJ22" i="35" s="1"/>
  <c r="C97" i="31"/>
  <c r="O73" i="3"/>
  <c r="R22" i="35"/>
  <c r="C118" i="31"/>
  <c r="B128" i="31"/>
  <c r="C113" i="31"/>
  <c r="AJ23" i="35"/>
  <c r="AN25" i="35"/>
  <c r="O76" i="3"/>
  <c r="B115" i="31"/>
  <c r="B113" i="31"/>
  <c r="O70" i="3"/>
  <c r="R9" i="35"/>
  <c r="C123" i="31"/>
  <c r="C103" i="31"/>
  <c r="B129" i="31"/>
  <c r="AV11" i="35"/>
  <c r="S46" i="3"/>
  <c r="AW11" i="35" s="1"/>
  <c r="Z46" i="3"/>
  <c r="AY11" i="35" s="1"/>
  <c r="W46" i="3"/>
  <c r="X46" i="3"/>
  <c r="AZ11" i="35" s="1"/>
  <c r="AF46" i="3"/>
  <c r="AX25" i="35"/>
  <c r="Z63" i="3"/>
  <c r="AY26" i="35" s="1"/>
  <c r="V63" i="3"/>
  <c r="W63" i="3"/>
  <c r="S63" i="3"/>
  <c r="AW26" i="35" s="1"/>
  <c r="U63" i="3"/>
  <c r="AV26" i="35"/>
  <c r="AF63" i="3"/>
  <c r="Y63" i="3"/>
  <c r="X63" i="3"/>
  <c r="AZ26" i="35" s="1"/>
  <c r="T63" i="3"/>
  <c r="AX26" i="35" s="1"/>
  <c r="V65" i="3"/>
  <c r="U65" i="3"/>
  <c r="T65" i="3"/>
  <c r="AX28" i="35" s="1"/>
  <c r="S65" i="3"/>
  <c r="AW28" i="35" s="1"/>
  <c r="Z65" i="3"/>
  <c r="AY28" i="35" s="1"/>
  <c r="Y65" i="3"/>
  <c r="W65" i="3"/>
  <c r="AF65" i="3"/>
  <c r="AV28" i="35"/>
  <c r="X65" i="3"/>
  <c r="AZ28" i="35" s="1"/>
  <c r="U46" i="3"/>
  <c r="W64" i="3"/>
  <c r="T64" i="3"/>
  <c r="AX27" i="35" s="1"/>
  <c r="U64" i="3"/>
  <c r="S64" i="3"/>
  <c r="AW27" i="35" s="1"/>
  <c r="Z64" i="3"/>
  <c r="AY27" i="35" s="1"/>
  <c r="AV27" i="35"/>
  <c r="AF64" i="3"/>
  <c r="V64" i="3"/>
  <c r="Y64" i="3"/>
  <c r="X64" i="3"/>
  <c r="AZ27" i="35" s="1"/>
  <c r="Y46" i="3"/>
  <c r="T46" i="3"/>
  <c r="AX11" i="35" s="1"/>
  <c r="AX18" i="35"/>
  <c r="C81" i="31"/>
  <c r="C82" i="31"/>
  <c r="C80" i="31"/>
  <c r="C83" i="31"/>
  <c r="AN19" i="35"/>
  <c r="C96" i="31"/>
  <c r="N20" i="35"/>
  <c r="C102" i="31"/>
  <c r="W49" i="3"/>
  <c r="S49" i="3"/>
  <c r="AW14" i="35" s="1"/>
  <c r="AV14" i="35"/>
  <c r="T49" i="3"/>
  <c r="AX14" i="35" s="1"/>
  <c r="AF49" i="3"/>
  <c r="V49" i="3"/>
  <c r="U49" i="3"/>
  <c r="X49" i="3"/>
  <c r="AZ14" i="35" s="1"/>
  <c r="Z49" i="3"/>
  <c r="AY14" i="35" s="1"/>
  <c r="Y49" i="3"/>
  <c r="U47" i="3"/>
  <c r="Y47" i="3"/>
  <c r="AV12" i="35"/>
  <c r="S47" i="3"/>
  <c r="AW12" i="35" s="1"/>
  <c r="T47" i="3"/>
  <c r="AX12" i="35" s="1"/>
  <c r="Z47" i="3"/>
  <c r="AY12" i="35" s="1"/>
  <c r="V47" i="3"/>
  <c r="X47" i="3"/>
  <c r="AZ12" i="35" s="1"/>
  <c r="W47" i="3"/>
  <c r="AF47" i="3"/>
  <c r="X38" i="3"/>
  <c r="AZ4" i="35" s="1"/>
  <c r="Z38" i="3"/>
  <c r="AY4" i="35" s="1"/>
  <c r="AV4" i="35"/>
  <c r="S38" i="3"/>
  <c r="AW4" i="35" s="1"/>
  <c r="Y38" i="3"/>
  <c r="V38" i="3"/>
  <c r="AF38" i="3"/>
  <c r="T38" i="3"/>
  <c r="U38" i="3"/>
  <c r="W38" i="3"/>
  <c r="AF40" i="3"/>
  <c r="Z40" i="3"/>
  <c r="AY6" i="35" s="1"/>
  <c r="T40" i="3"/>
  <c r="AX6" i="35" s="1"/>
  <c r="X40" i="3"/>
  <c r="AZ6" i="35" s="1"/>
  <c r="AV6" i="35"/>
  <c r="S40" i="3"/>
  <c r="AW6" i="35" s="1"/>
  <c r="W40" i="3"/>
  <c r="U40" i="3"/>
  <c r="Y40" i="3"/>
  <c r="V40" i="3"/>
  <c r="Y41" i="3"/>
  <c r="V41" i="3"/>
  <c r="U41" i="3"/>
  <c r="W41" i="3"/>
  <c r="Z41" i="3"/>
  <c r="AY7" i="35" s="1"/>
  <c r="T41" i="3"/>
  <c r="AX7" i="35" s="1"/>
  <c r="AF41" i="3"/>
  <c r="X41" i="3"/>
  <c r="AZ7" i="35" s="1"/>
  <c r="AV7" i="35"/>
  <c r="S41" i="3"/>
  <c r="AW7" i="35" s="1"/>
  <c r="T39" i="3"/>
  <c r="AX5" i="35" s="1"/>
  <c r="Y39" i="3"/>
  <c r="AF39" i="3"/>
  <c r="W39" i="3"/>
  <c r="V39" i="3"/>
  <c r="U39" i="3"/>
  <c r="Z39" i="3"/>
  <c r="AY5" i="35" s="1"/>
  <c r="X39" i="3"/>
  <c r="AZ5" i="35" s="1"/>
  <c r="AV5" i="35"/>
  <c r="S39" i="3"/>
  <c r="AW5" i="35" s="1"/>
  <c r="C104" i="31"/>
  <c r="C114" i="31"/>
  <c r="B114" i="31"/>
  <c r="AN20" i="35"/>
  <c r="N19" i="35"/>
  <c r="C112" i="31"/>
  <c r="C94" i="31"/>
  <c r="B112" i="31"/>
  <c r="J25" i="35"/>
  <c r="C69" i="31"/>
  <c r="C68" i="31"/>
  <c r="C70" i="31"/>
  <c r="C71" i="31"/>
  <c r="S25" i="3"/>
  <c r="I21" i="35" s="1"/>
  <c r="U25" i="3"/>
  <c r="Y25" i="3"/>
  <c r="V25" i="3"/>
  <c r="W25" i="3"/>
  <c r="AF25" i="3"/>
  <c r="X25" i="3"/>
  <c r="L21" i="35" s="1"/>
  <c r="H21" i="35"/>
  <c r="Z25" i="3"/>
  <c r="K21" i="35" s="1"/>
  <c r="T25" i="3"/>
  <c r="J21" i="35" s="1"/>
  <c r="V24" i="3"/>
  <c r="W24" i="3"/>
  <c r="X24" i="3"/>
  <c r="L20" i="35" s="1"/>
  <c r="T24" i="3"/>
  <c r="J20" i="35" s="1"/>
  <c r="H20" i="35"/>
  <c r="Z24" i="3"/>
  <c r="K20" i="35" s="1"/>
  <c r="S24" i="3"/>
  <c r="I20" i="35" s="1"/>
  <c r="Y24" i="3"/>
  <c r="U24" i="3"/>
  <c r="AF24" i="3"/>
  <c r="AF23" i="3"/>
  <c r="W23" i="3"/>
  <c r="U23" i="3"/>
  <c r="X23" i="3"/>
  <c r="L19" i="35" s="1"/>
  <c r="T23" i="3"/>
  <c r="J19" i="35" s="1"/>
  <c r="H19" i="35"/>
  <c r="Z23" i="3"/>
  <c r="K19" i="35" s="1"/>
  <c r="S23" i="3"/>
  <c r="I19" i="35" s="1"/>
  <c r="Y23" i="3"/>
  <c r="V23" i="3"/>
  <c r="C110" i="31"/>
  <c r="B110" i="31"/>
  <c r="AN12" i="35"/>
  <c r="C100" i="31"/>
  <c r="C109" i="31"/>
  <c r="N11" i="35"/>
  <c r="C91" i="31"/>
  <c r="B109" i="31"/>
  <c r="AF22" i="3"/>
  <c r="V22" i="3"/>
  <c r="U22" i="3"/>
  <c r="X22" i="3"/>
  <c r="L18" i="35" s="1"/>
  <c r="H18" i="35"/>
  <c r="Z22" i="3"/>
  <c r="K18" i="35" s="1"/>
  <c r="S22" i="3"/>
  <c r="I18" i="35" s="1"/>
  <c r="T22" i="3"/>
  <c r="Y22" i="3"/>
  <c r="W22" i="3"/>
  <c r="J11" i="35"/>
  <c r="C60" i="31"/>
  <c r="C63" i="31"/>
  <c r="C62" i="31"/>
  <c r="C61" i="31"/>
  <c r="J4" i="35"/>
  <c r="C57" i="31"/>
  <c r="C56" i="31"/>
  <c r="C58" i="31"/>
  <c r="C59" i="31"/>
  <c r="C130" i="31" l="1"/>
  <c r="B130" i="31"/>
  <c r="C134" i="31"/>
  <c r="O81" i="3"/>
  <c r="V15" i="35"/>
  <c r="B140" i="31"/>
  <c r="C140" i="31"/>
  <c r="O75" i="3"/>
  <c r="C120" i="31"/>
  <c r="Q100" i="3"/>
  <c r="Q97" i="3"/>
  <c r="C87" i="31"/>
  <c r="C84" i="31"/>
  <c r="C86" i="31"/>
  <c r="C85" i="31"/>
  <c r="C77" i="31"/>
  <c r="C76" i="31"/>
  <c r="C78" i="31"/>
  <c r="C79" i="31"/>
  <c r="C72" i="31"/>
  <c r="AX4" i="35"/>
  <c r="C75" i="31"/>
  <c r="C74" i="31"/>
  <c r="C73" i="31"/>
  <c r="C67" i="31"/>
  <c r="C64" i="31"/>
  <c r="J18" i="35"/>
  <c r="C65" i="31"/>
  <c r="C66"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<sst xmlns="http://schemas.openxmlformats.org/spreadsheetml/2006/main" count="1360" uniqueCount="377">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</sst>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6">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baseColWidth="10" defaultColWidth="10.85546875" defaultRowHeight="15" zeroHeight="1"/>
  <cols>
    <col min="1" max="4" width="10.85546875" style="1" customWidth="1"/>
    <col min="5" max="5" width="12.7109375" style="1" customWidth="1"/>
    <col min="6" max="9" width="10.85546875" style="1" customWidth="1"/>
    <col min="10" max="10" width="6.28515625" style="1" customWidth="1"/>
    <col min="11" max="15" width="10.85546875" style="1" customWidth="1"/>
    <col min="16" max="16" width="6.140625" style="1" customWidth="1"/>
    <col min="17" max="16383" width="10.85546875" style="1" customWidth="1"/>
    <col min="16384" max="16384" width="10.85546875" style="1"/>
  </cols>
  <sheetData>
    <row r="1" spans="1:17"/>
    <row r="2" spans="1:17">
      <c r="A2"/>
    </row>
    <row r="3" spans="1:17"/>
    <row r="4" spans="1:17">
      <c r="K4" s="371"/>
      <c r="O4"/>
    </row>
    <row r="5" spans="1:17" ht="18.75">
      <c r="K5" s="872" t="s">
        <v>372</v>
      </c>
    </row>
    <row r="6" spans="1:17" ht="18.75">
      <c r="K6" s="872" t="s">
        <v>373</v>
      </c>
    </row>
    <row r="7" spans="1:17" ht="18.75">
      <c r="K7" s="872" t="s">
        <v>374</v>
      </c>
    </row>
    <row r="8" spans="1:17"/>
    <row r="9" spans="1:17"/>
    <row r="10" spans="1:17">
      <c r="Q10"/>
    </row>
    <row r="11" spans="1:17"/>
    <row r="12" spans="1:17">
      <c r="Q12"/>
    </row>
    <row r="13" spans="1:17">
      <c r="E13"/>
    </row>
    <row r="14" spans="1:17"/>
    <row r="15" spans="1:17" ht="16.5">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57" zoomScaleNormal="100" workbookViewId="0">
      <selection activeCell="L83" sqref="L83"/>
    </sheetView>
  </sheetViews>
  <sheetFormatPr baseColWidth="10" defaultColWidth="0" defaultRowHeight="15" zeroHeight="1"/>
  <cols>
    <col min="1" max="2" width="10.85546875" style="819" hidden="1" customWidth="1"/>
    <col min="3" max="3" width="2.140625" style="820"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9" style="1" bestFit="1" customWidth="1"/>
    <col min="10" max="10" width="3.85546875" style="1" customWidth="1"/>
    <col min="11" max="12" width="5.28515625" style="1" customWidth="1"/>
    <col min="13" max="13" width="3.85546875" style="1" customWidth="1"/>
    <col min="14" max="14" width="19" style="1" bestFit="1" customWidth="1"/>
    <col min="15" max="15" width="2.7109375" style="1" customWidth="1"/>
    <col min="16" max="16" width="2.42578125" style="1" customWidth="1"/>
    <col min="17" max="17" width="4.28515625" style="1" bestFit="1" customWidth="1"/>
    <col min="18" max="18" width="12.28515625" style="1" bestFit="1" customWidth="1"/>
    <col min="19" max="19" width="7.28515625" style="1" customWidth="1"/>
    <col min="20" max="20" width="4.42578125" style="1" customWidth="1"/>
    <col min="21" max="21" width="6.42578125" style="1" customWidth="1"/>
    <col min="22" max="23" width="3.28515625" style="1" customWidth="1"/>
    <col min="24" max="25" width="4.140625" style="1" bestFit="1" customWidth="1"/>
    <col min="26" max="26" width="4.7109375" style="1" bestFit="1" customWidth="1"/>
    <col min="27" max="27" width="3.42578125" style="2" customWidth="1"/>
    <col min="28" max="28" width="17" style="5" customWidth="1"/>
    <col min="29" max="29" width="3.42578125" style="2" customWidth="1"/>
    <col min="30" max="30" width="5.42578125" style="2" customWidth="1"/>
    <col min="31" max="31" width="3" style="2" customWidth="1"/>
    <col min="32" max="48" width="10.85546875" style="829" hidden="1" customWidth="1"/>
    <col min="49" max="49" width="14.7109375" style="829" hidden="1" customWidth="1"/>
    <col min="50" max="81" width="10.85546875" style="829" hidden="1" customWidth="1"/>
    <col min="82" max="82" width="11.7109375" style="829" hidden="1" customWidth="1"/>
    <col min="83" max="86" width="10.85546875" style="829" hidden="1" customWidth="1"/>
    <col min="87" max="16384" width="10.85546875" style="827" hidden="1"/>
  </cols>
  <sheetData>
    <row r="1" spans="1:169 5689:5689 8944:8944 13447:13447" ht="24" customHeight="1">
      <c r="A1" s="810"/>
      <c r="B1" s="810"/>
      <c r="C1" s="810"/>
      <c r="D1" s="84"/>
      <c r="E1" s="96" t="s">
        <v>118</v>
      </c>
      <c r="F1" s="71"/>
      <c r="G1" s="924" t="s">
        <v>199</v>
      </c>
      <c r="H1" s="924"/>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100000000000001"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75"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878" t="s">
        <v>0</v>
      </c>
      <c r="F4" s="32">
        <f>Horarios!C4</f>
        <v>44886.791666666664</v>
      </c>
      <c r="G4" s="33">
        <f>Horarios!C4</f>
        <v>44886.791666666664</v>
      </c>
      <c r="H4" s="32" t="s">
        <v>72</v>
      </c>
      <c r="I4" s="34" t="str">
        <f ca="1">A7</f>
        <v>Senegal</v>
      </c>
      <c r="J4" s="434" t="str">
        <f ca="1">VLOOKUP(I4,Equipos!$H$2:$I$33,2,0)</f>
        <v>🇸🇳</v>
      </c>
      <c r="K4" s="35">
        <v>0</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4" t="s">
        <v>67</v>
      </c>
      <c r="AC4" s="874"/>
      <c r="AD4" s="874"/>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75" thickBot="1">
      <c r="A5" s="812" t="str">
        <f t="array" aca="1" ref="A5" ca="1">IF(ROWS(A$5:A5)&lt;=$C$4,INDEX(INDIRECT(A$4),SMALL(IF(Nivell=$B$4,ROW(Nivell)-ROW(Equipos!$C$2)+1),ROWS(B$4:B4))),"")</f>
        <v>Catar</v>
      </c>
      <c r="B5" s="813"/>
      <c r="C5" s="813"/>
      <c r="D5" s="159"/>
      <c r="E5" s="879"/>
      <c r="F5" s="17">
        <f>Horarios!C5</f>
        <v>44885.791666666664</v>
      </c>
      <c r="G5" s="18">
        <f>Horarios!C5</f>
        <v>44885.791666666664</v>
      </c>
      <c r="H5" s="17" t="s">
        <v>72</v>
      </c>
      <c r="I5" s="19" t="str">
        <f ca="1">A5</f>
        <v>Catar</v>
      </c>
      <c r="J5" s="435" t="str">
        <f ca="1">VLOOKUP(I5,Equipos!$H$2:$I$33,2,0)</f>
        <v>🇶🇦</v>
      </c>
      <c r="K5" s="20">
        <v>0</v>
      </c>
      <c r="L5" s="20">
        <v>2</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874"/>
      <c r="AC5" s="874"/>
      <c r="AD5" s="874"/>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79"/>
      <c r="F6" s="17">
        <f>Horarios!C6</f>
        <v>44890.666666666664</v>
      </c>
      <c r="G6" s="18">
        <f>Horarios!C6</f>
        <v>44890.666666666664</v>
      </c>
      <c r="H6" s="17" t="s">
        <v>73</v>
      </c>
      <c r="I6" s="19" t="str">
        <f ca="1">A5</f>
        <v>Catar</v>
      </c>
      <c r="J6" s="435" t="str">
        <f ca="1">VLOOKUP(I6,Equipos!$H$2:$I$33,2,0)</f>
        <v>🇶🇦</v>
      </c>
      <c r="K6" s="20">
        <v>1</v>
      </c>
      <c r="L6" s="20">
        <v>3</v>
      </c>
      <c r="M6" s="438" t="str">
        <f ca="1">VLOOKUP(N6,Equipos!$H$2:$I$33,2,0)</f>
        <v>🇸🇳</v>
      </c>
      <c r="N6" s="37" t="str">
        <f ca="1">A7</f>
        <v>Senegal</v>
      </c>
      <c r="O6" s="385">
        <f t="shared" si="1"/>
        <v>1</v>
      </c>
      <c r="P6" s="88"/>
      <c r="Q6" s="105">
        <v>1</v>
      </c>
      <c r="R6" s="106" t="str">
        <f ca="1">VLOOKUP(Q6,$AG$6:$AI$9,3,0)</f>
        <v>Paises Bajos</v>
      </c>
      <c r="S6" s="107">
        <f ca="1">VLOOKUP(R6,$AI$6:$AR$9,2,FALSE)</f>
        <v>7</v>
      </c>
      <c r="T6" s="107">
        <f ca="1">VLOOKUP($R6,$AI$6:$AR$9,3,FALSE)</f>
        <v>3</v>
      </c>
      <c r="U6" s="107">
        <f ca="1">VLOOKUP($R6,$AI$6:$AR$9,4,FALSE)</f>
        <v>2</v>
      </c>
      <c r="V6" s="107">
        <f ca="1">VLOOKUP($R6,$AI$6:$AR$9,5,FALSE)</f>
        <v>1</v>
      </c>
      <c r="W6" s="107">
        <f ca="1">VLOOKUP($R6,$AI$6:$AR$9,6,FALSE)</f>
        <v>0</v>
      </c>
      <c r="X6" s="107">
        <f ca="1">VLOOKUP($R6,$AI$6:$AR$9,7,FALSE)</f>
        <v>5</v>
      </c>
      <c r="Y6" s="107">
        <f ca="1">VLOOKUP($R6,$AI$6:$AR$9,8,FALSE)</f>
        <v>1</v>
      </c>
      <c r="Z6" s="108">
        <f ca="1">VLOOKUP($R6,$AI$6:$AR$9,9,FALSE)</f>
        <v>4</v>
      </c>
      <c r="AA6" s="395">
        <f ca="1">IF(SUM($AK$6:$AK$9)=12,MIN(ABS(BY5-BY6),ABS(BY6-BY7)),100)</f>
        <v>1125999999.9899998</v>
      </c>
      <c r="AB6" s="101" t="str">
        <f ca="1">IF(AND(AA6&gt;=0,AA6&lt;90),VLOOKUP(Q6,$BU$6:$BV$9,2,0),"")</f>
        <v/>
      </c>
      <c r="AC6" s="78"/>
      <c r="AD6" s="79"/>
      <c r="AE6" s="365"/>
      <c r="AF6" s="828">
        <f ca="1">VLOOKUP($R6,$AI$6:$AR$9,10,FALSE)</f>
        <v>7802210499.96</v>
      </c>
      <c r="AG6" s="827">
        <f ca="1">RANK(AU6,$AU$6:$AU$9)</f>
        <v>4</v>
      </c>
      <c r="AH6" s="827">
        <f ca="1">RANK(AR6,$AR$6:$AR$9)</f>
        <v>4</v>
      </c>
      <c r="AI6" s="829" t="str">
        <f ca="1">A5</f>
        <v>Catar</v>
      </c>
      <c r="AJ6" s="827">
        <f ca="1">AL6*3+AM6*1+AN6*0</f>
        <v>0</v>
      </c>
      <c r="AK6" s="827">
        <f ca="1">COUNTIFS($I$4:$I$65,AI6,$K$4:$K$65,"&lt;&gt;",$L$4:$L$65,"&lt;&gt;")+COUNTIFS($N$4:$N$65,AI6,$L$4:$L$65,"&lt;&gt;",$K$4:$K$65,"&lt;&gt;")</f>
        <v>3</v>
      </c>
      <c r="AL6" s="827">
        <f t="array" aca="1" ref="AL6" ca="1">SUM(($I$4:$I$65=AI6)*($K$4:$K$65&lt;&gt;"")*($L$4:$L$65&lt;&gt;"")*($K$4:$K$65&gt;$L$4:$L$65),($N$4:$N$65=AI6)*($K$4:$K$65&lt;&gt;"")*($L$4:$L$65&lt;&gt;"")*($K$4:$K$65&lt;$L$4:$L$65))</f>
        <v>0</v>
      </c>
      <c r="AM6" s="827">
        <f t="array" aca="1" ref="AM6" ca="1">SUM(($I$4:$I$65=AI6)*($K$4:$K$65&lt;&gt;"")*($L$4:$L$65&lt;&gt;"")*($K$4:$K$65=$L$4:$L$65),($N$4:$N$65=AI6)*($K$4:$K$65&lt;&gt;"")*($L$4:$L$65&lt;&gt;"")*($K$4:$K$65=$L$4:$L$65))</f>
        <v>0</v>
      </c>
      <c r="AN6" s="827">
        <f t="array" aca="1" ref="AN6" ca="1">SUM(($I$4:$I$65=AI6)*($L$4:$L$65&lt;&gt;"")*($K$4:$K$65&lt;&gt;"")*($K$4:$K$65&lt;$L$4:$L$65),($K$4:$K$65&lt;&gt;"")*($N$4:$N$65=AI6)*($L$4:$L$65&lt;&gt;"")*($K$4:$K$65&gt;$L$4:$L$65))</f>
        <v>3</v>
      </c>
      <c r="AO6" s="827">
        <f t="array" aca="1" ref="AO6" ca="1">SUMIFS($K$4:$K$65,$I$4:$I$65,AI6,$K$4:$K$65,"&lt;&gt;",$L$4:$L$65,"&lt;&gt;")+SUMIFS($L$4:$L$65,$N$4:$N$65,AI6,$K$4:$K$65,"&lt;&gt;",$L$4:$L$65,"&lt;&gt;")</f>
        <v>1</v>
      </c>
      <c r="AP6" s="827">
        <f t="array" aca="1" ref="AP6" ca="1">SUMIFS($K$4:$K$65,$N$4:$N$65,AI6,$K$4:$K$65,"&lt;&gt;",$L$4:$L$65,"&lt;&gt;")+SUMIFS($L$4:$L$65,$I$4:$I$65,AI6,$K$4:$K$65,"&lt;&gt;",$L$4:$L$65,"&lt;&gt;")</f>
        <v>7</v>
      </c>
      <c r="AQ6" s="827">
        <f ca="1">AO6-AP6</f>
        <v>-6</v>
      </c>
      <c r="AR6" s="827">
        <f ca="1">IF(AK6=0,-($AW$11*VLOOKUP(AI6,Tabla3[[NombreEquipo]:[Rank]],3,FALSE)),AJ6*$AW$4+AQ6*$AW$5+AO6*$AW$6+BA6-($AW$11*VLOOKUP(AI6,Tabla3[[NombreEquipo]:[Rank]],3,FALSE)/100))</f>
        <v>-28789500.010000002</v>
      </c>
      <c r="AS6" s="827">
        <f ca="1">AH6</f>
        <v>4</v>
      </c>
      <c r="AT6" s="827"/>
      <c r="AU6" s="827">
        <f ca="1">IFERROR(AR6-VLOOKUP(AI6,$AB$6:$AC$9,2,0),AR6)</f>
        <v>-28789500.010000002</v>
      </c>
      <c r="AV6" s="827" t="s">
        <v>188</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0</v>
      </c>
      <c r="BF6" s="835">
        <f t="array" aca="1" ref="BF6" ca="1">SUMIFS($K$4:$K$9,$I$4:$I$9,$AY6,$K$4:$K$9,"&lt;&gt;",$L$4:$L$9,"&lt;&gt;",$N$4:$N$9,BF5)+SUMIFS($L$4:$L$9,$I$4:$I$9,BF5,$K$4:$K$9,"&lt;&gt;",$L$4:$L$9,"&lt;&gt;",$N$4:$N$9,$AY6)</f>
        <v>1</v>
      </c>
      <c r="BG6" s="835">
        <f t="array" aca="1" ref="BG6" ca="1">SUMIFS($K$4:$K$9,$I$4:$I$9,$AY6,$K$4:$K$9,"&lt;&gt;",$L$4:$L$9,"&lt;&gt;",$N$4:$N$9,BG5)+SUMIFS($L$4:$L$9,$I$4:$I$9,BG5,$K$4:$K$9,"&lt;&gt;",$L$4:$L$9,"&lt;&gt;",$N$4:$N$9,$AY6)</f>
        <v>0</v>
      </c>
      <c r="BH6" s="835">
        <f ca="1">RANK(BI6,BI6:BI9,1)</f>
        <v>1</v>
      </c>
      <c r="BI6" s="835">
        <f ca="1">SUM(IF(AND(AJ6=AJ7,AQ6=AQ7,AO6=AO7),BK6,0),IF(AND(AJ6=AJ8,AQ6=AQ8,AO6=AO8),BL6,0),IF(AND(AJ6=AJ9,AQ6=AQ9,AO6=AO9),BM6,0))</f>
        <v>0</v>
      </c>
      <c r="BJ6" s="835">
        <v>0</v>
      </c>
      <c r="BK6" s="835">
        <f ca="1">BE6-BD7</f>
        <v>-2</v>
      </c>
      <c r="BL6" s="835">
        <f ca="1">BF6-BD8</f>
        <v>-2</v>
      </c>
      <c r="BM6" s="835">
        <f ca="1">BG6-BD9</f>
        <v>-2</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0</v>
      </c>
      <c r="BR6" s="835">
        <f t="array" aca="1" ref="BR6" ca="1">SUM((I$4:I$49=AY6)*(N$4:N$49=BR5)*(K$4:K$49&lt;&gt;"")*(L$4:L$49&lt;&gt;"")*(K$4:K$49&gt;L$4:L$49)*3,(N$4:N$49=AY6)*(I$4:I$49=BR5)*(K$4:K$49&lt;&gt;"")*(L$4:L$49&lt;&gt;"")*(K$4:K$49=L$4:L$49)*1,(N$4:N$49=AY6)*(I$4:I$49=BR5)*(K$4:K$49&lt;&gt;"")*(L$4:L$49&lt;&gt;"")*(K$4:K$49&lt;L$4:L$49)*3,(I$4:I$49=AY6)*(N$4:N$49=BR5)*(K$4:K$49&lt;&gt;"")*(L$4:L$49&lt;&gt;"")*(K$4:K$49=L$4:L$49)*1)</f>
        <v>0</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4</v>
      </c>
      <c r="BV6" s="829" t="str">
        <f ca="1">A5</f>
        <v>Catar</v>
      </c>
      <c r="BW6" s="829">
        <f ca="1">AR6</f>
        <v>-28789500.010000002</v>
      </c>
      <c r="BX6" s="829" t="str">
        <f ca="1">VLOOKUP(Q6,$AH$6:$AI$9,2,0)</f>
        <v>Paises Bajos</v>
      </c>
      <c r="BY6" s="829">
        <f ca="1">VLOOKUP($BX6,$AI$6:$AR$9,10,FALSE)</f>
        <v>7802210499.96</v>
      </c>
      <c r="CA6" s="829">
        <v>1</v>
      </c>
      <c r="CB6" s="829" t="str">
        <f ca="1">VLOOKUP(CA6,$AH$6:$AI$9,2,0)</f>
        <v>Paises Bajos</v>
      </c>
      <c r="CC6" s="829">
        <f ca="1">VLOOKUP(CB6,$AI$6:$AR$9,2,FALSE)</f>
        <v>7</v>
      </c>
      <c r="CD6" s="836">
        <f ca="1">IF(SUM($AK$6:$AK$9)=12,MIN(ABS(BY5-BY6),ABS(BY6-BY7)),100)</f>
        <v>1125999999.9899998</v>
      </c>
      <c r="CE6" s="829">
        <f ca="1">VLOOKUP($CB6,$AI$6:$AR$9,9,FALSE)</f>
        <v>4</v>
      </c>
      <c r="CF6" s="829">
        <f ca="1">VLOOKUP($CB6,$AI$6:$AR$9,7,FALSE)</f>
        <v>5</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79"/>
      <c r="F7" s="17">
        <f>Horarios!C7</f>
        <v>44890.791666666664</v>
      </c>
      <c r="G7" s="18">
        <f>Horarios!C7</f>
        <v>44890.791666666664</v>
      </c>
      <c r="H7" s="17" t="s">
        <v>73</v>
      </c>
      <c r="I7" s="19" t="str">
        <f ca="1">A8</f>
        <v>Paises Bajos</v>
      </c>
      <c r="J7" s="435" t="str">
        <f ca="1">VLOOKUP(I7,Equipos!$H$2:$I$33,2,0)</f>
        <v>🇳🇱</v>
      </c>
      <c r="K7" s="20">
        <v>1</v>
      </c>
      <c r="L7" s="20">
        <v>1</v>
      </c>
      <c r="M7" s="438" t="str">
        <f ca="1">VLOOKUP(N7,Equipos!$H$2:$I$33,2,0)</f>
        <v>🇪🇨</v>
      </c>
      <c r="N7" s="37" t="str">
        <f ca="1">A6</f>
        <v>Ecuador</v>
      </c>
      <c r="O7" s="385">
        <f t="shared" si="1"/>
        <v>1</v>
      </c>
      <c r="P7" s="88"/>
      <c r="Q7" s="109">
        <v>2</v>
      </c>
      <c r="R7" s="4" t="str">
        <f ca="1">VLOOKUP(Q7,$AG$6:$AI$9,3,0)</f>
        <v>Senegal</v>
      </c>
      <c r="S7" s="3">
        <f ca="1">VLOOKUP(R7,$AI$6:$AR$9,2,FALSE)</f>
        <v>6</v>
      </c>
      <c r="T7" s="3">
        <f ca="1">VLOOKUP($R7,$AI$6:$AR$9,3,FALSE)</f>
        <v>3</v>
      </c>
      <c r="U7" s="3">
        <f ca="1">VLOOKUP($R7,$AI$6:$AR$9,4,FALSE)</f>
        <v>2</v>
      </c>
      <c r="V7" s="3">
        <f ca="1">VLOOKUP($R7,$AI$6:$AR$9,5,FALSE)</f>
        <v>0</v>
      </c>
      <c r="W7" s="3">
        <f ca="1">VLOOKUP($R7,$AI$6:$AR$9,6,FALSE)</f>
        <v>1</v>
      </c>
      <c r="X7" s="3">
        <f ca="1">VLOOKUP($R7,$AI$6:$AR$9,7,FALSE)</f>
        <v>5</v>
      </c>
      <c r="Y7" s="3">
        <f ca="1">VLOOKUP($R7,$AI$6:$AR$9,8,FALSE)</f>
        <v>4</v>
      </c>
      <c r="Z7" s="110">
        <f ca="1">VLOOKUP($R7,$AI$6:$AR$9,9,FALSE)</f>
        <v>1</v>
      </c>
      <c r="AA7" s="395">
        <f ca="1">IF(SUM($AK$6:$AK$9)=12,MIN(ABS(BY6-BY7),ABS(BY7-BY8)),100)</f>
        <v>1125999999.9899998</v>
      </c>
      <c r="AB7" s="101" t="str">
        <f ca="1">IF(AND(AA7&gt;=0,AA7&lt;90),VLOOKUP(Q7,$BU$6:$BV$9,2,0),"")</f>
        <v/>
      </c>
      <c r="AC7" s="78"/>
      <c r="AD7" s="79"/>
      <c r="AE7" s="365"/>
      <c r="AF7" s="828">
        <f ca="1">VLOOKUP($R7,$AI$6:$AR$9,10,FALSE)</f>
        <v>6676210499.9700003</v>
      </c>
      <c r="AG7" s="827">
        <f ca="1">RANK(AU7,$AU$6:$AU$9)</f>
        <v>3</v>
      </c>
      <c r="AH7" s="827">
        <f ca="1">RANK(AR7,$AR$6:$AR$9)</f>
        <v>3</v>
      </c>
      <c r="AI7" s="829" t="str">
        <f ca="1">A6</f>
        <v>Ecuador</v>
      </c>
      <c r="AJ7" s="827">
        <f ca="1">AL7*3+AM7*1+AN7*0</f>
        <v>4</v>
      </c>
      <c r="AK7" s="827">
        <f ca="1">COUNTIFS($I$4:$I$65,AI7,$K$4:$K$65,"&lt;&gt;",$L$4:$L$65,"&lt;&gt;")+COUNTIFS($N$4:$N$65,AI7,$L$4:$L$65,"&lt;&gt;",$K$4:$K$65,"&lt;&gt;")</f>
        <v>3</v>
      </c>
      <c r="AL7" s="827">
        <f t="array" aca="1" ref="AL7" ca="1">SUM(($I$4:$I$65=AI7)*($K$4:$K$65&lt;&gt;"")*($L$4:$L$65&lt;&gt;"")*($K$4:$K$65&gt;$L$4:$L$65),($N$4:$N$65=AI7)*($K$4:$K$65&lt;&gt;"")*($L$4:$L$65&lt;&gt;"")*($K$4:$K$65&lt;$L$4:$L$65))</f>
        <v>1</v>
      </c>
      <c r="AM7" s="827">
        <f t="array" aca="1" ref="AM7" ca="1">SUM(($I$4:$I$65=AI7)*($K$4:$K$65&lt;&gt;"")*($L$4:$L$65&lt;&gt;"")*($K$4:$K$65=$L$4:$L$65),($N$4:$N$65=AI7)*($K$4:$K$65&lt;&gt;"")*($L$4:$L$65&lt;&gt;"")*($K$4:$K$65=$L$4:$L$65))</f>
        <v>1</v>
      </c>
      <c r="AN7" s="827">
        <f t="array" aca="1" ref="AN7" ca="1">SUM(($I$4:$I$65=AI7)*($L$4:$L$65&lt;&gt;"")*($K$4:$K$65&lt;&gt;"")*($K$4:$K$65&lt;$L$4:$L$65),($K$4:$K$65&lt;&gt;"")*($N$4:$N$65=AI7)*($L$4:$L$65&lt;&gt;"")*($K$4:$K$65&gt;$L$4:$L$65))</f>
        <v>1</v>
      </c>
      <c r="AO7" s="827">
        <f t="array" aca="1" ref="AO7" ca="1">SUMIFS($K$4:$K$65,$I$4:$I$65,AI7,$K$4:$K$65,"&lt;&gt;",$L$4:$L$65,"&lt;&gt;")+SUMIFS($L$4:$L$65,$N$4:$N$65,AI7,$K$4:$K$65,"&lt;&gt;",$L$4:$L$65,"&lt;&gt;")</f>
        <v>4</v>
      </c>
      <c r="AP7" s="827">
        <f t="array" aca="1" ref="AP7" ca="1">SUMIFS($K$4:$K$65,$N$4:$N$65,AI7,$K$4:$K$65,"&lt;&gt;",$L$4:$L$65,"&lt;&gt;")+SUMIFS($L$4:$L$65,$I$4:$I$65,AI7,$K$4:$K$65,"&lt;&gt;",$L$4:$L$65,"&lt;&gt;")</f>
        <v>3</v>
      </c>
      <c r="AQ7" s="827">
        <f ca="1">AO7-AP7</f>
        <v>1</v>
      </c>
      <c r="AR7" s="827">
        <f ca="1">IF(AK7=0,-($AW$11*VLOOKUP(AI7,Tabla3[[NombreEquipo]:[Rank]],3,FALSE)),AJ7*$AW$4+AQ7*$AW$5+AO7*$AW$6+BA7-($AW$11*VLOOKUP(AI7,Tabla3[[NombreEquipo]:[Rank]],3,FALSE)/100))</f>
        <v>4453210499.9799995</v>
      </c>
      <c r="AS7" s="827">
        <f ca="1">AH7</f>
        <v>3</v>
      </c>
      <c r="AT7" s="827"/>
      <c r="AU7" s="827">
        <f ca="1">IFERROR(AR7-VLOOKUP(AI7,$AB$6:$AC$9,2,0),AR7)</f>
        <v>4453210499.9799995</v>
      </c>
      <c r="AV7" s="827" t="s">
        <v>194</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2</v>
      </c>
      <c r="BE7" s="835">
        <v>0</v>
      </c>
      <c r="BF7" s="835">
        <f t="array" aca="1" ref="BF7" ca="1">SUMIFS($K$4:$K$9,$I$4:$I$9,$AY7,$K$4:$K$9,"&lt;&gt;",$L$4:$L$9,"&lt;&gt;",$N$4:$N$9,BF5)+SUMIFS($L$4:$L$9,$I$4:$I$9,BF5,$K$4:$K$9,"&lt;&gt;",$L$4:$L$9,"&lt;&gt;",$N$4:$N$9,$AY7)</f>
        <v>1</v>
      </c>
      <c r="BG7" s="835">
        <f t="array" aca="1" ref="BG7" ca="1">SUMIFS($K$4:$K$9,$I$4:$I$9,$AY7,$K$4:$K$9,"&lt;&gt;",$L$4:$L$9,"&lt;&gt;",$N$4:$N$9,BG5)+SUMIFS($L$4:$L$9,$I$4:$I$9,BG5,$K$4:$K$9,"&lt;&gt;",$L$4:$L$9,"&lt;&gt;",$N$4:$N$9,$AY7)</f>
        <v>1</v>
      </c>
      <c r="BH7" s="835">
        <f ca="1">RANK(BI7,BI6:BI9,1)</f>
        <v>1</v>
      </c>
      <c r="BI7" s="835">
        <f ca="1">SUM(IF(AND(AJ7=AJ8,AQ7=AQ8,AO7=AO8),BL7,0),IF(AND(AJ7=AJ9,AQ7=AQ9,AO7=AO9),BM7,0),IF(AND(AJ7=AJ6,AQ7=AQ6,AO7=AO6),BJ7,0))</f>
        <v>0</v>
      </c>
      <c r="BJ7" s="835">
        <f ca="1">BD7-BE6</f>
        <v>2</v>
      </c>
      <c r="BK7" s="835">
        <v>0</v>
      </c>
      <c r="BL7" s="835">
        <f ca="1">BF7-BE8</f>
        <v>-1</v>
      </c>
      <c r="BM7" s="835">
        <f ca="1">BG7-BE9</f>
        <v>0</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3</v>
      </c>
      <c r="BQ7" s="835">
        <v>0</v>
      </c>
      <c r="BR7" s="835">
        <f t="array" aca="1" ref="BR7" ca="1">SUM((I$4:I$49=AY7)*(N$4:N$49=BR5)*(K$4:K$49&lt;&gt;"")*(L$4:L$49&lt;&gt;"")*(K$4:K$49&gt;L$4:L$49)*3,(N$4:N$49=AY7)*(I$4:I$49=BR5)*(K$4:K$49&lt;&gt;"")*(L$4:L$49&lt;&gt;"")*(K$4:K$49=L$4:L$49)*1,(N$4:N$49=AY7)*(I$4:I$49=BR5)*(K$4:K$49&lt;&gt;"")*(L$4:L$49&lt;&gt;"")*(K$4:K$49&lt;L$4:L$49)*3,(I$4:I$49=AY7)*(N$4:N$49=BR5)*(K$4:K$49&lt;&gt;"")*(L$4:L$49&lt;&gt;"")*(K$4:K$49=L$4:L$49)*1)</f>
        <v>0</v>
      </c>
      <c r="BS7" s="835">
        <f t="array" aca="1" ref="BS7" ca="1">SUM((I$4:I$49=AY7)*(N$4:N$49=BS5)*(K$4:K$49&lt;&gt;"")*(L$4:L$49&lt;&gt;"")*(K$4:K$49&gt;L$4:L$49)*3,(N$4:N$49=AY7)*(I$4:I$49=BS5)*(K$4:K$49&lt;&gt;"")*(L$4:L$49&lt;&gt;"")*(K$4:K$49=L$4:L$49)*1,(N$4:N$49=AY7)*(I$4:I$49=BS5)*(K$4:K$49&lt;&gt;"")*(L$4:L$49&lt;&gt;"")*(K$4:K$49&lt;L$4:L$49)*3,(I$4:I$49=AY7)*(N$4:N$49=BS5)*(K$4:K$49&lt;&gt;"")*(L$4:L$49&lt;&gt;"")*(K$4:K$49=L$4:L$49)*1)</f>
        <v>1</v>
      </c>
      <c r="BT7" s="829">
        <v>2</v>
      </c>
      <c r="BU7" s="829">
        <f ca="1">RANK(BW7,$BW$6:$BW$9)</f>
        <v>3</v>
      </c>
      <c r="BV7" s="829" t="str">
        <f ca="1">A6</f>
        <v>Ecuador</v>
      </c>
      <c r="BW7" s="829">
        <f t="shared" ref="BW7:BW9" ca="1" si="2">AR7</f>
        <v>4453210499.9799995</v>
      </c>
      <c r="BX7" s="829" t="str">
        <f ca="1">VLOOKUP(Q7,$AH$6:$AI$9,2,0)</f>
        <v>Senegal</v>
      </c>
      <c r="BY7" s="829">
        <f ca="1">VLOOKUP($BX7,$AI$6:$AR$9,10,FALSE)</f>
        <v>6676210499.9700003</v>
      </c>
      <c r="CA7" s="829">
        <v>2</v>
      </c>
      <c r="CB7" s="829" t="str">
        <f ca="1">VLOOKUP(CA7,$AH$6:$AI$9,2,0)</f>
        <v>Senegal</v>
      </c>
      <c r="CC7" s="829">
        <f ca="1">VLOOKUP(CB7,$AI$6:$AR$9,2,FALSE)</f>
        <v>6</v>
      </c>
      <c r="CD7" s="836">
        <f ca="1">IF(SUM($AK$6:$AK$9)=12,MIN(ABS(BY6-BY7),ABS(BY7-BY8)),100)</f>
        <v>1125999999.9899998</v>
      </c>
      <c r="CE7" s="829">
        <f ca="1">VLOOKUP($CB7,$AI$6:$AR$9,9,FALSE)</f>
        <v>1</v>
      </c>
      <c r="CF7" s="829">
        <f ca="1">VLOOKUP($CB7,$AI$6:$AR$9,7,FALSE)</f>
        <v>5</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79"/>
      <c r="F8" s="17">
        <f>Horarios!C8</f>
        <v>44894.75</v>
      </c>
      <c r="G8" s="18">
        <f>Horarios!C8</f>
        <v>44894.75</v>
      </c>
      <c r="H8" s="17" t="s">
        <v>74</v>
      </c>
      <c r="I8" s="19" t="str">
        <f ca="1">A6</f>
        <v>Ecuador</v>
      </c>
      <c r="J8" s="435" t="str">
        <f ca="1">VLOOKUP(I8,Equipos!$H$2:$I$33,2,0)</f>
        <v>🇪🇨</v>
      </c>
      <c r="K8" s="20">
        <v>1</v>
      </c>
      <c r="L8" s="20">
        <v>2</v>
      </c>
      <c r="M8" s="438" t="str">
        <f ca="1">VLOOKUP(N8,Equipos!$H$2:$I$33,2,0)</f>
        <v>🇸🇳</v>
      </c>
      <c r="N8" s="37" t="str">
        <f ca="1">A7</f>
        <v>Senegal</v>
      </c>
      <c r="O8" s="385">
        <f t="shared" si="1"/>
        <v>1</v>
      </c>
      <c r="P8" s="88"/>
      <c r="Q8" s="109">
        <v>3</v>
      </c>
      <c r="R8" s="4" t="str">
        <f ca="1">VLOOKUP(Q8,$AG$6:$AI$9,3,0)</f>
        <v>Ecuador</v>
      </c>
      <c r="S8" s="3">
        <f ca="1">VLOOKUP(R8,$AI$6:$AR$9,2,FALSE)</f>
        <v>4</v>
      </c>
      <c r="T8" s="3">
        <f ca="1">VLOOKUP($R8,$AI$6:$AR$9,3,FALSE)</f>
        <v>3</v>
      </c>
      <c r="U8" s="3">
        <f ca="1">VLOOKUP($R8,$AI$6:$AR$9,4,FALSE)</f>
        <v>1</v>
      </c>
      <c r="V8" s="3">
        <f ca="1">VLOOKUP($R8,$AI$6:$AR$9,5,FALSE)</f>
        <v>1</v>
      </c>
      <c r="W8" s="3">
        <f ca="1">VLOOKUP($R8,$AI$6:$AR$9,6,FALSE)</f>
        <v>1</v>
      </c>
      <c r="X8" s="3">
        <f ca="1">VLOOKUP($R8,$AI$6:$AR$9,7,FALSE)</f>
        <v>4</v>
      </c>
      <c r="Y8" s="3">
        <f ca="1">VLOOKUP($R8,$AI$6:$AR$9,8,FALSE)</f>
        <v>3</v>
      </c>
      <c r="Z8" s="110">
        <f ca="1">VLOOKUP($R8,$AI$6:$AR$9,9,FALSE)</f>
        <v>1</v>
      </c>
      <c r="AA8" s="395">
        <f ca="1">IF(SUM($AK$6:$AK$9)=12,MIN(ABS(BY7-BY8),ABS(BY8-BY9)),100)</f>
        <v>2222999999.9900007</v>
      </c>
      <c r="AB8" s="101" t="str">
        <f ca="1">IF(AND(AA8&gt;=0,AA8&lt;90),VLOOKUP(Q8,$BU$6:$BV$9,2,0),"")</f>
        <v/>
      </c>
      <c r="AC8" s="78"/>
      <c r="AD8" s="79"/>
      <c r="AE8" s="365"/>
      <c r="AF8" s="828">
        <f ca="1">VLOOKUP($R8,$AI$6:$AR$9,10,FALSE)</f>
        <v>4453210499.9799995</v>
      </c>
      <c r="AG8" s="827">
        <f ca="1">RANK(AU8,$AU$6:$AU$9)</f>
        <v>2</v>
      </c>
      <c r="AH8" s="827">
        <f ca="1">RANK(AR8,$AR$6:$AR$9)</f>
        <v>2</v>
      </c>
      <c r="AI8" s="829" t="str">
        <f ca="1">A7</f>
        <v>Senegal</v>
      </c>
      <c r="AJ8" s="827">
        <f ca="1">AL8*3+AM8*1+AN8*0</f>
        <v>6</v>
      </c>
      <c r="AK8" s="827">
        <f ca="1">COUNTIFS($I$4:$I$65,AI8,$K$4:$K$65,"&lt;&gt;",$L$4:$L$65,"&lt;&gt;")+COUNTIFS($N$4:$N$65,AI8,$L$4:$L$65,"&lt;&gt;",$K$4:$K$65,"&lt;&gt;")</f>
        <v>3</v>
      </c>
      <c r="AL8" s="827">
        <f t="array" aca="1" ref="AL8" ca="1">SUM(($I$4:$I$65=AI8)*($K$4:$K$65&lt;&gt;"")*($L$4:$L$65&lt;&gt;"")*($K$4:$K$65&gt;$L$4:$L$65),($N$4:$N$65=AI8)*($K$4:$K$65&lt;&gt;"")*($L$4:$L$65&lt;&gt;"")*($K$4:$K$65&lt;$L$4:$L$65))</f>
        <v>2</v>
      </c>
      <c r="AM8" s="827">
        <f t="array" aca="1" ref="AM8" ca="1">SUM(($I$4:$I$65=AI8)*($K$4:$K$65&lt;&gt;"")*($L$4:$L$65&lt;&gt;"")*($K$4:$K$65=$L$4:$L$65),($N$4:$N$65=AI8)*($K$4:$K$65&lt;&gt;"")*($L$4:$L$65&lt;&gt;"")*($K$4:$K$65=$L$4:$L$65))</f>
        <v>0</v>
      </c>
      <c r="AN8" s="827">
        <f t="array" aca="1" ref="AN8" ca="1">SUM(($I$4:$I$65=AI8)*($L$4:$L$65&lt;&gt;"")*($K$4:$K$65&lt;&gt;"")*($K$4:$K$65&lt;$L$4:$L$65),($K$4:$K$65&lt;&gt;"")*($N$4:$N$65=AI8)*($L$4:$L$65&lt;&gt;"")*($K$4:$K$65&gt;$L$4:$L$65))</f>
        <v>1</v>
      </c>
      <c r="AO8" s="827">
        <f t="array" aca="1" ref="AO8" ca="1">SUMIFS($K$4:$K$65,$I$4:$I$65,AI8,$K$4:$K$65,"&lt;&gt;",$L$4:$L$65,"&lt;&gt;")+SUMIFS($L$4:$L$65,$N$4:$N$65,AI8,$K$4:$K$65,"&lt;&gt;",$L$4:$L$65,"&lt;&gt;")</f>
        <v>5</v>
      </c>
      <c r="AP8" s="827">
        <f t="array" aca="1" ref="AP8" ca="1">SUMIFS($K$4:$K$65,$N$4:$N$65,AI8,$K$4:$K$65,"&lt;&gt;",$L$4:$L$65,"&lt;&gt;")+SUMIFS($L$4:$L$65,$I$4:$I$65,AI8,$K$4:$K$65,"&lt;&gt;",$L$4:$L$65,"&lt;&gt;")</f>
        <v>4</v>
      </c>
      <c r="AQ8" s="827">
        <f ca="1">AO8-AP8</f>
        <v>1</v>
      </c>
      <c r="AR8" s="827">
        <f ca="1">IF(AK8=0,-($AW$11*VLOOKUP(AI8,Tabla3[[NombreEquipo]:[Rank]],3,FALSE)),AJ8*$AW$4+AQ8*$AW$5+AO8*$AW$6+BA8-($AW$11*VLOOKUP(AI8,Tabla3[[NombreEquipo]:[Rank]],3,FALSE)/100))</f>
        <v>6676210499.9700003</v>
      </c>
      <c r="AS8" s="827">
        <f ca="1">AH8</f>
        <v>2</v>
      </c>
      <c r="AT8" s="827"/>
      <c r="AU8" s="827">
        <f ca="1">IFERROR(AR8-VLOOKUP(AI8,$AB$6:$AC$9,2,0),AR8)</f>
        <v>6676210499.9700003</v>
      </c>
      <c r="AV8" s="827" t="s">
        <v>195</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3</v>
      </c>
      <c r="BE8" s="835">
        <f t="array" aca="1" ref="BE8" ca="1">SUMIFS($K$4:$K$9,$I$4:$I$9,$AY8,$K$4:$K$9,"&lt;&gt;",$L$4:$L$9,"&lt;&gt;",$N$4:$N$9,BE5)+SUMIFS($L$4:$L$9,$I$4:$I$9,BE5,$K$4:$K$9,"&lt;&gt;",$L$4:$L$9,"&lt;&gt;",$N$4:$N$9,$AY8)</f>
        <v>2</v>
      </c>
      <c r="BF8" s="835">
        <v>0</v>
      </c>
      <c r="BG8" s="835">
        <f t="array" aca="1" ref="BG8" ca="1">SUMIFS($K$4:$K$9,$I$4:$I$9,$AY8,$K$4:$K$9,"&lt;&gt;",$L$4:$L$9,"&lt;&gt;",$N$4:$N$9,BG5)+SUMIFS($L$4:$L$9,$I$4:$I$9,BG5,$K$4:$K$9,"&lt;&gt;",$L$4:$L$9,"&lt;&gt;",$N$4:$N$9,$AY8)</f>
        <v>0</v>
      </c>
      <c r="BH8" s="835">
        <f ca="1">RANK(BI8,BI6:BI9,1)</f>
        <v>1</v>
      </c>
      <c r="BI8" s="835">
        <f ca="1">SUM(IF(AND(AJ8=AJ9,AQ8=AQ9,AO8=AO9),BM8,0),IF(AND(AJ8=AJ6,AQ8=AQ6,AO8=AO6),BJ8,0),IF(AND(AJ8=AJ7,AQ8=AQ7,AO8=AO7),BK8,0))</f>
        <v>0</v>
      </c>
      <c r="BJ8" s="835">
        <f ca="1">BD8-BF6</f>
        <v>2</v>
      </c>
      <c r="BK8" s="835">
        <f ca="1">BE8-BF7</f>
        <v>1</v>
      </c>
      <c r="BL8" s="835">
        <v>0</v>
      </c>
      <c r="BM8" s="835">
        <f ca="1">BG8-BF9</f>
        <v>-2</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3</v>
      </c>
      <c r="BQ8" s="835">
        <f t="array" aca="1" ref="BQ8" ca="1">SUM((I$4:I$49=AY8)*(N$4:N$49=BQ5)*(K$4:K$49&lt;&gt;"")*(L$4:L$49&lt;&gt;"")*(K$4:K$49&gt;L$4:L$49)*3,(N$4:N$49=AY8)*(I$4:I$49=BQ5)*(K$4:K$49&lt;&gt;"")*(L$4:L$49&lt;&gt;"")*(K$4:K$49=L$4:L$49)*1,(N$4:N$49=AY8)*(I$4:I$49=BQ5)*(K$4:K$49&lt;&gt;"")*(L$4:L$49&lt;&gt;"")*(K$4:K$49&lt;L$4:L$49)*3,(I$4:I$49=AY8)*(N$4:N$49=BQ5)*(K$4:K$49&lt;&gt;"")*(L$4:L$49&lt;&gt;"")*(K$4:K$49=L$4:L$49)*1)</f>
        <v>3</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2</v>
      </c>
      <c r="BV8" s="829" t="str">
        <f ca="1">A7</f>
        <v>Senegal</v>
      </c>
      <c r="BW8" s="829">
        <f t="shared" ca="1" si="2"/>
        <v>6676210499.9700003</v>
      </c>
      <c r="BX8" s="829" t="str">
        <f ca="1">VLOOKUP(Q8,$AH$6:$AI$9,2,0)</f>
        <v>Ecuador</v>
      </c>
      <c r="BY8" s="829">
        <f ca="1">VLOOKUP($BX8,$AI$6:$AR$9,10,FALSE)</f>
        <v>4453210499.9799995</v>
      </c>
      <c r="CA8" s="829">
        <v>3</v>
      </c>
      <c r="CB8" s="829" t="str">
        <f ca="1">VLOOKUP(CA8,$AH$6:$AI$9,2,0)</f>
        <v>Ecuador</v>
      </c>
      <c r="CC8" s="829">
        <f ca="1">VLOOKUP(CB8,$AI$6:$AR$9,2,FALSE)</f>
        <v>4</v>
      </c>
      <c r="CD8" s="836">
        <f ca="1">IF(SUM($AK$6:$AK$9)=12,MIN(ABS(BY7-BY8),ABS(BY8-BY9)),100)</f>
        <v>2222999999.9900007</v>
      </c>
      <c r="CE8" s="829">
        <f ca="1">VLOOKUP($CB8,$AI$6:$AR$9,9,FALSE)</f>
        <v>1</v>
      </c>
      <c r="CF8" s="829">
        <f ca="1">VLOOKUP($CB8,$AI$6:$AR$9,7,FALSE)</f>
        <v>4</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75" thickBot="1">
      <c r="A9" s="810"/>
      <c r="B9" s="813"/>
      <c r="C9" s="810"/>
      <c r="D9" s="159"/>
      <c r="E9" s="880"/>
      <c r="F9" s="38">
        <f>Horarios!C9</f>
        <v>44894.75</v>
      </c>
      <c r="G9" s="39">
        <f>Horarios!C9</f>
        <v>44894.75</v>
      </c>
      <c r="H9" s="38" t="s">
        <v>74</v>
      </c>
      <c r="I9" s="40" t="str">
        <f ca="1">A8</f>
        <v>Paises Bajos</v>
      </c>
      <c r="J9" s="436" t="str">
        <f ca="1">VLOOKUP(I9,Equipos!$H$2:$I$33,2,0)</f>
        <v>🇳🇱</v>
      </c>
      <c r="K9" s="41">
        <v>2</v>
      </c>
      <c r="L9" s="41">
        <v>0</v>
      </c>
      <c r="M9" s="439" t="str">
        <f ca="1">VLOOKUP(N9,Equipos!$H$2:$I$33,2,0)</f>
        <v>🇶🇦</v>
      </c>
      <c r="N9" s="42" t="str">
        <f ca="1">A5</f>
        <v>Catar</v>
      </c>
      <c r="O9" s="385">
        <f t="shared" si="1"/>
        <v>1</v>
      </c>
      <c r="P9" s="88"/>
      <c r="Q9" s="111">
        <v>4</v>
      </c>
      <c r="R9" s="112" t="str">
        <f ca="1">VLOOKUP(Q9,$AG$6:$AI$9,3,0)</f>
        <v>Catar</v>
      </c>
      <c r="S9" s="113">
        <f ca="1">VLOOKUP(R9,$AI$6:$AR$9,2,FALSE)</f>
        <v>0</v>
      </c>
      <c r="T9" s="113">
        <f ca="1">VLOOKUP($R9,$AI$6:$AR$9,3,FALSE)</f>
        <v>3</v>
      </c>
      <c r="U9" s="113">
        <f ca="1">VLOOKUP($R9,$AI$6:$AR$9,4,FALSE)</f>
        <v>0</v>
      </c>
      <c r="V9" s="113">
        <f ca="1">VLOOKUP($R9,$AI$6:$AR$9,5,FALSE)</f>
        <v>0</v>
      </c>
      <c r="W9" s="113">
        <f ca="1">VLOOKUP($R9,$AI$6:$AR$9,6,FALSE)</f>
        <v>3</v>
      </c>
      <c r="X9" s="113">
        <f ca="1">VLOOKUP($R9,$AI$6:$AR$9,7,FALSE)</f>
        <v>1</v>
      </c>
      <c r="Y9" s="113">
        <f ca="1">VLOOKUP($R9,$AI$6:$AR$9,8,FALSE)</f>
        <v>7</v>
      </c>
      <c r="Z9" s="114">
        <f ca="1">VLOOKUP($R9,$AI$6:$AR$9,9,FALSE)</f>
        <v>-6</v>
      </c>
      <c r="AA9" s="395">
        <f ca="1">IF(SUM($AK$6:$AK$9)=12,MIN(ABS(BY8-BY9),ABS(BY9-BY10)),100)</f>
        <v>28789500.010000002</v>
      </c>
      <c r="AB9" s="101" t="str">
        <f ca="1">IF(AND(AA9&gt;=0,AA9&lt;90),VLOOKUP(Q9,$BU$6:$BV$9,2,0),"")</f>
        <v/>
      </c>
      <c r="AC9" s="78"/>
      <c r="AD9" s="79"/>
      <c r="AE9" s="365"/>
      <c r="AF9" s="828">
        <f ca="1">VLOOKUP($R9,$AI$6:$AR$9,10,FALSE)</f>
        <v>-28789500.010000002</v>
      </c>
      <c r="AG9" s="827">
        <f ca="1">RANK(AU9,$AU$6:$AU$9)</f>
        <v>1</v>
      </c>
      <c r="AH9" s="827">
        <f ca="1">RANK(AR9,$AR$6:$AR$9)</f>
        <v>1</v>
      </c>
      <c r="AI9" s="829" t="str">
        <f ca="1">A8</f>
        <v>Paises Bajos</v>
      </c>
      <c r="AJ9" s="827">
        <f ca="1">AL9*3+AM9*1+AN9*0</f>
        <v>7</v>
      </c>
      <c r="AK9" s="827">
        <f ca="1">COUNTIFS($I$4:$I$65,AI9,$K$4:$K$65,"&lt;&gt;",$L$4:$L$65,"&lt;&gt;")+COUNTIFS($N$4:$N$65,AI9,$L$4:$L$65,"&lt;&gt;",$K$4:$K$65,"&lt;&gt;")</f>
        <v>3</v>
      </c>
      <c r="AL9" s="827">
        <f t="array" aca="1" ref="AL9" ca="1">SUM(($I$4:$I$65=AI9)*($K$4:$K$65&lt;&gt;"")*($L$4:$L$65&lt;&gt;"")*($K$4:$K$65&gt;$L$4:$L$65),($N$4:$N$65=AI9)*($K$4:$K$65&lt;&gt;"")*($L$4:$L$65&lt;&gt;"")*($K$4:$K$65&lt;$L$4:$L$65))</f>
        <v>2</v>
      </c>
      <c r="AM9" s="827">
        <f t="array" aca="1" ref="AM9" ca="1">SUM(($I$4:$I$65=AI9)*($K$4:$K$65&lt;&gt;"")*($L$4:$L$65&lt;&gt;"")*($K$4:$K$65=$L$4:$L$65),($N$4:$N$65=AI9)*($K$4:$K$65&lt;&gt;"")*($L$4:$L$65&lt;&gt;"")*($K$4:$K$65=$L$4:$L$65))</f>
        <v>1</v>
      </c>
      <c r="AN9" s="827">
        <f t="array" aca="1" ref="AN9" ca="1">SUM(($I$4:$I$65=AI9)*($L$4:$L$65&lt;&gt;"")*($K$4:$K$65&lt;&gt;"")*($K$4:$K$65&lt;$L$4:$L$65),($K$4:$K$65&lt;&gt;"")*($N$4:$N$65=AI9)*($L$4:$L$65&lt;&gt;"")*($K$4:$K$65&gt;$L$4:$L$65))</f>
        <v>0</v>
      </c>
      <c r="AO9" s="827">
        <f t="array" aca="1" ref="AO9" ca="1">SUMIFS($K$4:$K$65,$I$4:$I$65,AI9,$K$4:$K$65,"&lt;&gt;",$L$4:$L$65,"&lt;&gt;")+SUMIFS($L$4:$L$65,$N$4:$N$65,AI9,$K$4:$K$65,"&lt;&gt;",$L$4:$L$65,"&lt;&gt;")</f>
        <v>5</v>
      </c>
      <c r="AP9" s="827">
        <f t="array" aca="1" ref="AP9" ca="1">SUMIFS($K$4:$K$65,$N$4:$N$65,AI9,$K$4:$K$65,"&lt;&gt;",$L$4:$L$65,"&lt;&gt;")+SUMIFS($L$4:$L$65,$I$4:$I$65,AI9,$K$4:$K$65,"&lt;&gt;",$L$4:$L$65,"&lt;&gt;")</f>
        <v>1</v>
      </c>
      <c r="AQ9" s="827">
        <f ca="1">AO9-AP9</f>
        <v>4</v>
      </c>
      <c r="AR9" s="827">
        <f ca="1">IF(AK9=0,-($AW$11*VLOOKUP(AI9,Tabla3[[NombreEquipo]:[Rank]],3,FALSE)),AJ9*$AW$4+AQ9*$AW$5+AO9*$AW$6+BA9-($AW$11*VLOOKUP(AI9,Tabla3[[NombreEquipo]:[Rank]],3,FALSE)/100))</f>
        <v>7802210499.96</v>
      </c>
      <c r="AS9" s="827">
        <f ca="1">AH9</f>
        <v>1</v>
      </c>
      <c r="AT9" s="827"/>
      <c r="AU9" s="827">
        <f ca="1">IFERROR(AR9-VLOOKUP(AI9,$AB$6:$AC$9,2,0),AR9)</f>
        <v>7802210499.96</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2</v>
      </c>
      <c r="BE9" s="835">
        <f t="array" aca="1" ref="BE9" ca="1">SUMIFS($K$4:$K$9,$I$4:$I$9,$AY9,$K$4:$K$9,"&lt;&gt;",$L$4:$L$9,"&lt;&gt;",$N$4:$N$9,BE5)+SUMIFS($L$4:$L$9,$I$4:$I$9,BE5,$K$4:$K$9,"&lt;&gt;",$L$4:$L$9,"&lt;&gt;",$N$4:$N$9,$AY9)</f>
        <v>1</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2</v>
      </c>
      <c r="BK9" s="835">
        <f ca="1">BE9-BG7</f>
        <v>0</v>
      </c>
      <c r="BL9" s="835">
        <f ca="1">BF9-BG8</f>
        <v>2</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1</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7802210499.96</v>
      </c>
      <c r="BX9" s="829" t="str">
        <f ca="1">VLOOKUP(Q9,$AH$6:$AI$9,2,0)</f>
        <v>Catar</v>
      </c>
      <c r="BY9" s="829">
        <f ca="1">VLOOKUP($BX9,$AI$6:$AR$9,10,FALSE)</f>
        <v>-28789500.010000002</v>
      </c>
      <c r="CA9" s="829">
        <v>4</v>
      </c>
      <c r="CB9" s="829" t="str">
        <f ca="1">VLOOKUP(CA9,$AH$6:$AI$9,2,0)</f>
        <v>Catar</v>
      </c>
      <c r="CC9" s="829">
        <f ca="1">VLOOKUP(CB9,$AI$6:$AR$9,2,FALSE)</f>
        <v>0</v>
      </c>
      <c r="CD9" s="836">
        <f ca="1">IF(SUM($AK$6:$AK$9)=12,MIN(ABS(BY8-BY9),ABS(BY9-BY10)),100)</f>
        <v>28789500.010000002</v>
      </c>
      <c r="CE9" s="829">
        <f ca="1">VLOOKUP($CB9,$AI$6:$AR$9,9,FALSE)</f>
        <v>-6</v>
      </c>
      <c r="CF9" s="829">
        <f ca="1">VLOOKUP($CB9,$AI$6:$AR$9,7,FALSE)</f>
        <v>1</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7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881" t="s">
        <v>1</v>
      </c>
      <c r="F12" s="43">
        <f>Horarios!C12</f>
        <v>44886.666666666664</v>
      </c>
      <c r="G12" s="44">
        <f>Horarios!C12</f>
        <v>44886.666666666664</v>
      </c>
      <c r="H12" s="43" t="s">
        <v>72</v>
      </c>
      <c r="I12" s="45" t="str">
        <f ca="1">A13</f>
        <v>Inglaterra</v>
      </c>
      <c r="J12" s="46" t="str">
        <f ca="1">VLOOKUP(I12,Equipos!$H$2:$I$33,2,0)</f>
        <v>🏴󠁧󠁢󠁥󠁮󠁧󠁿</v>
      </c>
      <c r="K12" s="47">
        <v>6</v>
      </c>
      <c r="L12" s="47">
        <v>2</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4" t="s">
        <v>67</v>
      </c>
      <c r="AC12" s="874"/>
      <c r="AD12" s="874"/>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2</v>
      </c>
      <c r="CP12" s="827">
        <f t="shared" ca="1" si="5"/>
        <v>0</v>
      </c>
      <c r="CQ12" s="827">
        <f t="shared" ca="1" si="5"/>
        <v>2</v>
      </c>
      <c r="CR12" s="827">
        <f t="shared" ca="1" si="5"/>
        <v>2</v>
      </c>
      <c r="CS12" s="827">
        <f t="shared" ca="1" si="5"/>
        <v>4</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75" thickBot="1">
      <c r="A13" s="812" t="str">
        <f t="array" aca="1" ref="A13" ca="1">IF(ROWS(A$13:A13)&lt;=$C$12,INDEX(INDIRECT(A$12),SMALL(IF(Nivell=$B$12,ROW(Nivell)-ROW(Equipos!$C$2)+1),ROWS(B$12:B12))),"")</f>
        <v>Inglaterra</v>
      </c>
      <c r="B13" s="813"/>
      <c r="C13" s="813"/>
      <c r="D13" s="159"/>
      <c r="E13" s="882"/>
      <c r="F13" s="21">
        <f>Horarios!C13</f>
        <v>44886.916666666664</v>
      </c>
      <c r="G13" s="22">
        <f>Horarios!C13</f>
        <v>44886.916666666664</v>
      </c>
      <c r="H13" s="21" t="s">
        <v>72</v>
      </c>
      <c r="I13" s="23" t="str">
        <f ca="1">A15</f>
        <v>Estados unidos</v>
      </c>
      <c r="J13" s="24" t="str">
        <f ca="1">VLOOKUP(I13,Equipos!$H$2:$I$33,2,0)</f>
        <v>🇺🇸</v>
      </c>
      <c r="K13" s="25">
        <v>1</v>
      </c>
      <c r="L13" s="25">
        <v>1</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0</v>
      </c>
      <c r="AB13" s="874"/>
      <c r="AC13" s="874"/>
      <c r="AD13" s="874"/>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2"/>
      <c r="F14" s="21">
        <f>Horarios!C14</f>
        <v>44890.541666666664</v>
      </c>
      <c r="G14" s="22">
        <f>Horarios!C14</f>
        <v>44890.541666666664</v>
      </c>
      <c r="H14" s="21" t="s">
        <v>73</v>
      </c>
      <c r="I14" s="23" t="str">
        <f ca="1">A16</f>
        <v>Gales</v>
      </c>
      <c r="J14" s="24" t="str">
        <f ca="1">VLOOKUP(I14,Equipos!$H$2:$I$33,2,0)</f>
        <v>🏴󠁧󠁢󠁷󠁬󠁳󠁿</v>
      </c>
      <c r="K14" s="25">
        <v>0</v>
      </c>
      <c r="L14" s="25">
        <v>2</v>
      </c>
      <c r="M14" s="31" t="str">
        <f ca="1">VLOOKUP(N14,Equipos!$H$2:$I$33,2,0)</f>
        <v>🇮🇷</v>
      </c>
      <c r="N14" s="50" t="str">
        <f ca="1">A14</f>
        <v>Irán</v>
      </c>
      <c r="O14" s="385">
        <f t="shared" si="6"/>
        <v>1</v>
      </c>
      <c r="P14" s="88"/>
      <c r="Q14" s="129">
        <v>1</v>
      </c>
      <c r="R14" s="130" t="str">
        <f ca="1">VLOOKUP(Q14,$AG$14:$AI$17,3,0)</f>
        <v>Inglaterra</v>
      </c>
      <c r="S14" s="131">
        <f ca="1">VLOOKUP(R14,$AI$14:$AR$17,2,FALSE)</f>
        <v>7</v>
      </c>
      <c r="T14" s="131">
        <f ca="1">VLOOKUP($R14,$AI$14:$AR$17,3,FALSE)</f>
        <v>3</v>
      </c>
      <c r="U14" s="131">
        <f ca="1">VLOOKUP($R14,$AI$14:$AR$17,4,FALSE)</f>
        <v>2</v>
      </c>
      <c r="V14" s="131">
        <f ca="1">VLOOKUP($R14,$AI$14:$AR$17,5,FALSE)</f>
        <v>1</v>
      </c>
      <c r="W14" s="131">
        <f ca="1">VLOOKUP($R14,$AI$14:$AR$17,6,FALSE)</f>
        <v>0</v>
      </c>
      <c r="X14" s="131">
        <f ca="1">VLOOKUP($R14,$AI$14:$AR$17,7,FALSE)</f>
        <v>9</v>
      </c>
      <c r="Y14" s="131">
        <f ca="1">VLOOKUP($R14,$AI$14:$AR$17,8,FALSE)</f>
        <v>2</v>
      </c>
      <c r="Z14" s="132">
        <f ca="1">VLOOKUP($R14,$AI$14:$AR$17,9,FALSE)</f>
        <v>7</v>
      </c>
      <c r="AA14" s="395">
        <f ca="1">IF(SUM($AK$14:$AK$17)=12,MIN(ABS(BY13-BY14),ABS(BY14-BY15)),100)</f>
        <v>2259000000.0199995</v>
      </c>
      <c r="AB14" s="101" t="str">
        <f ca="1">IF(AND(AA14&gt;=0,AA14&lt;90),VLOOKUP(Q14,$BU$14:$BV$17,2,0),"")</f>
        <v/>
      </c>
      <c r="AC14" s="78"/>
      <c r="AD14" s="79"/>
      <c r="AE14" s="365"/>
      <c r="AF14" s="828">
        <f ca="1">VLOOKUP($R14,$AI$14:$AR$17,10,FALSE)</f>
        <v>7821210499.9499998</v>
      </c>
      <c r="AG14" s="827">
        <f ca="1">RANK(AU14,$AU$14:$AU$17)</f>
        <v>1</v>
      </c>
      <c r="AH14" s="827">
        <f ca="1">RANK(AR14,$AR$14:$AR$17)</f>
        <v>1</v>
      </c>
      <c r="AI14" s="829" t="str">
        <f ca="1">A13</f>
        <v>Inglaterra</v>
      </c>
      <c r="AJ14" s="827">
        <f ca="1">AL14*3+AM14*1+AN14*0</f>
        <v>7</v>
      </c>
      <c r="AK14" s="827">
        <f ca="1">COUNTIFS($I$4:$I$65,AI14,$K$4:$K$65,"&lt;&gt;",$L$4:$L$65,"&lt;&gt;")+COUNTIFS($N$4:$N$65,AI14,$L$4:$L$65,"&lt;&gt;",$K$4:$K$65,"&lt;&gt;")</f>
        <v>3</v>
      </c>
      <c r="AL14" s="827">
        <f t="array" aca="1" ref="AL14" ca="1">SUM(($I$4:$I$65=AI14)*($K$4:$K$65&lt;&gt;"")*($L$4:$L$65&lt;&gt;"")*($K$4:$K$65&gt;$L$4:$L$65),($N$4:$N$65=AI14)*($K$4:$K$65&lt;&gt;"")*($L$4:$L$65&lt;&gt;"")*($K$4:$K$65&lt;$L$4:$L$65))</f>
        <v>2</v>
      </c>
      <c r="AM14" s="827">
        <f t="array" aca="1" ref="AM14" ca="1">SUM(($I$4:$I$65=AI14)*($K$4:$K$65&lt;&gt;"")*($L$4:$L$65&lt;&gt;"")*($K$4:$K$65=$L$4:$L$65),($N$4:$N$65=AI14)*($K$4:$K$65&lt;&gt;"")*($L$4:$L$65&lt;&gt;"")*($K$4:$K$65=$L$4:$L$65))</f>
        <v>1</v>
      </c>
      <c r="AN14" s="827">
        <f t="array" aca="1" ref="AN14" ca="1">SUM(($I$4:$I$65=AI14)*($L$4:$L$65&lt;&gt;"")*($K$4:$K$65&lt;&gt;"")*($K$4:$K$65&lt;$L$4:$L$65),($K$4:$K$65&lt;&gt;"")*($N$4:$N$65=AI14)*($L$4:$L$65&lt;&gt;"")*($K$4:$K$65&gt;$L$4:$L$65))</f>
        <v>0</v>
      </c>
      <c r="AO14" s="827">
        <f t="array" aca="1" ref="AO14" ca="1">SUMIFS($K$4:$K$65,$I$4:$I$65,AI14,$K$4:$K$65,"&lt;&gt;",$L$4:$L$65,"&lt;&gt;")+SUMIFS($L$4:$L$65,$N$4:$N$65,AI14,$K$4:$K$65,"&lt;&gt;",$L$4:$L$65,"&lt;&gt;")</f>
        <v>9</v>
      </c>
      <c r="AP14" s="827">
        <f t="array" aca="1" ref="AP14" ca="1">SUMIFS($K$4:$K$65,$N$4:$N$65,AI14,$K$4:$K$65,"&lt;&gt;",$L$4:$L$65,"&lt;&gt;")+SUMIFS($L$4:$L$65,$I$4:$I$65,AI14,$K$4:$K$65,"&lt;&gt;",$L$4:$L$65,"&lt;&gt;")</f>
        <v>2</v>
      </c>
      <c r="AQ14" s="827">
        <f ca="1">AO14-AP14</f>
        <v>7</v>
      </c>
      <c r="AR14" s="827">
        <f ca="1">IF(AK14=0,-($AW$11*VLOOKUP(AI14,Tabla3[[NombreEquipo]:[Rank]],3,FALSE)),AJ14*$AW$4+AQ14*$AW$5+AO14*$AW$6+BA14-($AW$11*VLOOKUP(AI14,Tabla3[[NombreEquipo]:[Rank]],3,FALSE)/100))</f>
        <v>7821210499.9499998</v>
      </c>
      <c r="AS14" s="827">
        <f ca="1">AH14</f>
        <v>1</v>
      </c>
      <c r="AT14" s="827"/>
      <c r="AU14" s="827">
        <f ca="1">IFERROR(AR14-VLOOKUP(AI14,$AB$14:$AC$17,2,0),AR14)</f>
        <v>7821210499.9499998</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6</v>
      </c>
      <c r="BF14" s="835">
        <f t="array" aca="1" ref="BF14" ca="1">SUMIFS($K$12:$K$17,$I$12:$I$17,$AY14,$K$12:$K$17,"&lt;&gt;",$L$12:$L$17,"&lt;&gt;",$N$12:$N$17,BF13)+SUMIFS($L$12:$L$17,$I$12:$I$17,BF13,$K$12:$K$17,"&lt;&gt;",$L$12:$L$17,"&lt;&gt;",$N$12:$N$17,$AY14)</f>
        <v>0</v>
      </c>
      <c r="BG14" s="835">
        <f t="array" aca="1" ref="BG14" ca="1">SUMIFS($K$12:$K$17,$I$12:$I$17,$AY14,$K$12:$K$17,"&lt;&gt;",$L$12:$L$17,"&lt;&gt;",$N$12:$N$17,BG13)+SUMIFS($L$12:$L$17,$I$12:$I$17,BG13,$K$12:$K$17,"&lt;&gt;",$L$12:$L$17,"&lt;&gt;",$N$12:$N$17,$AY14)</f>
        <v>3</v>
      </c>
      <c r="BH14" s="835">
        <f ca="1">RANK(BI14,BI14:BI17,1)</f>
        <v>1</v>
      </c>
      <c r="BI14" s="835">
        <f ca="1">SUM(IF(AND(AJ14=AJ15,AQ14=AQ15,AO14=AO15),BK14,0),IF(AND(AJ14=AJ16,AQ14=AQ16,AO14=AO16),BL14,0),IF(AND(AJ14=AJ17,AQ14=AQ17,AO14=AO17),BM14,0))</f>
        <v>0</v>
      </c>
      <c r="BJ14" s="835">
        <v>0</v>
      </c>
      <c r="BK14" s="835">
        <f ca="1">BE14-BD15</f>
        <v>4</v>
      </c>
      <c r="BL14" s="835">
        <f ca="1">BF14-BD16</f>
        <v>0</v>
      </c>
      <c r="BM14" s="835">
        <f ca="1">BG14-BD17</f>
        <v>3</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1</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7821210499.9499998</v>
      </c>
      <c r="BX14" s="829" t="str">
        <f ca="1">VLOOKUP(Q14,$AH$14:$AI$17,2,0)</f>
        <v>Inglaterra</v>
      </c>
      <c r="BY14" s="829">
        <f ca="1">VLOOKUP($BX14,$AI$14:$AR$17,10,FALSE)</f>
        <v>7821210499.9499998</v>
      </c>
      <c r="CA14" s="829">
        <v>1</v>
      </c>
      <c r="CB14" s="829" t="str">
        <f ca="1">VLOOKUP(CA14,$AH$14:$AI$17,2,0)</f>
        <v>Inglaterra</v>
      </c>
      <c r="CC14" s="829">
        <f ca="1">VLOOKUP(CB14,$AI$14:$AR$17,2,FALSE)</f>
        <v>7</v>
      </c>
      <c r="CD14" s="836">
        <f ca="1">IF(SUM($AK$14:$AK$17)=12,MIN(ABS(BY13-BY14),ABS(BY14-BY15)),100)</f>
        <v>2259000000.0199995</v>
      </c>
      <c r="CE14" s="829">
        <f ca="1">VLOOKUP($CB14,$AI$14:$AR$17,9,FALSE)</f>
        <v>7</v>
      </c>
      <c r="CF14" s="829">
        <f ca="1">VLOOKUP($CB14,$AI$14:$AR$17,7,FALSE)</f>
        <v>9</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2"/>
      <c r="F15" s="21">
        <f>Horarios!C15</f>
        <v>44890.916666666664</v>
      </c>
      <c r="G15" s="22">
        <f>Horarios!C15</f>
        <v>44890.916666666664</v>
      </c>
      <c r="H15" s="21" t="s">
        <v>73</v>
      </c>
      <c r="I15" s="23" t="str">
        <f ca="1">A13</f>
        <v>Inglaterra</v>
      </c>
      <c r="J15" s="24" t="str">
        <f ca="1">VLOOKUP(I15,Equipos!$H$2:$I$33,2,0)</f>
        <v>🏴󠁧󠁢󠁥󠁮󠁧󠁿</v>
      </c>
      <c r="K15" s="25">
        <v>0</v>
      </c>
      <c r="L15" s="25">
        <v>0</v>
      </c>
      <c r="M15" s="31" t="str">
        <f ca="1">VLOOKUP(N15,Equipos!$H$2:$I$33,2,0)</f>
        <v>🇺🇸</v>
      </c>
      <c r="N15" s="50" t="str">
        <f ca="1">A15</f>
        <v>Estados unidos</v>
      </c>
      <c r="O15" s="385">
        <f t="shared" si="6"/>
        <v>1</v>
      </c>
      <c r="P15" s="88"/>
      <c r="Q15" s="133">
        <v>2</v>
      </c>
      <c r="R15" s="4" t="str">
        <f ca="1">VLOOKUP(Q15,$AG$14:$AI$17,3,0)</f>
        <v>Estados unidos</v>
      </c>
      <c r="S15" s="3">
        <f ca="1">VLOOKUP(R15,$AI$14:$AR$17,2,FALSE)</f>
        <v>5</v>
      </c>
      <c r="T15" s="3">
        <f ca="1">VLOOKUP($R15,$AI$14:$AR$17,3,FALSE)</f>
        <v>3</v>
      </c>
      <c r="U15" s="3">
        <f ca="1">VLOOKUP($R15,$AI$14:$AR$17,4,FALSE)</f>
        <v>1</v>
      </c>
      <c r="V15" s="3">
        <f ca="1">VLOOKUP($R15,$AI$14:$AR$17,5,FALSE)</f>
        <v>2</v>
      </c>
      <c r="W15" s="3">
        <f ca="1">VLOOKUP($R15,$AI$14:$AR$17,6,FALSE)</f>
        <v>0</v>
      </c>
      <c r="X15" s="3">
        <f ca="1">VLOOKUP($R15,$AI$14:$AR$17,7,FALSE)</f>
        <v>2</v>
      </c>
      <c r="Y15" s="3">
        <f ca="1">VLOOKUP($R15,$AI$14:$AR$17,8,FALSE)</f>
        <v>1</v>
      </c>
      <c r="Z15" s="134">
        <f ca="1">VLOOKUP($R15,$AI$14:$AR$17,9,FALSE)</f>
        <v>1</v>
      </c>
      <c r="AA15" s="395">
        <f ca="1">IF(SUM($AK$14:$AK$17)=12,MIN(ABS(BY14-BY15),ABS(BY15-BY16)),100)</f>
        <v>2239999999.9900002</v>
      </c>
      <c r="AB15" s="101" t="str">
        <f ca="1">IF(AND(AA15&gt;=0,AA15&lt;90),VLOOKUP(Q15,$BU$14:$BV$17,2,0),"")</f>
        <v/>
      </c>
      <c r="AC15" s="78"/>
      <c r="AD15" s="79"/>
      <c r="AE15" s="365"/>
      <c r="AF15" s="828">
        <f ca="1">VLOOKUP($R15,$AI$14:$AR$17,10,FALSE)</f>
        <v>5562210499.9300003</v>
      </c>
      <c r="AG15" s="827">
        <f ca="1">RANK(AU15,$AU$14:$AU$17)</f>
        <v>3</v>
      </c>
      <c r="AH15" s="827">
        <f ca="1">RANK(AR15,$AR$14:$AR$17)</f>
        <v>3</v>
      </c>
      <c r="AI15" s="829" t="str">
        <f ca="1">A14</f>
        <v>Irán</v>
      </c>
      <c r="AJ15" s="827">
        <f ca="1">AL15*3+AM15*1+AN15*0</f>
        <v>3</v>
      </c>
      <c r="AK15" s="827">
        <f ca="1">COUNTIFS($I$4:$I$65,AI15,$K$4:$K$65,"&lt;&gt;",$L$4:$L$65,"&lt;&gt;")+COUNTIFS($N$4:$N$65,AI15,$L$4:$L$65,"&lt;&gt;",$K$4:$K$65,"&lt;&gt;")</f>
        <v>3</v>
      </c>
      <c r="AL15" s="827">
        <f t="array" aca="1" ref="AL15" ca="1">SUM(($I$4:$I$65=AI15)*($K$4:$K$65&lt;&gt;"")*($L$4:$L$65&lt;&gt;"")*($K$4:$K$65&gt;$L$4:$L$65),($N$4:$N$65=AI15)*($K$4:$K$65&lt;&gt;"")*($L$4:$L$65&lt;&gt;"")*($K$4:$K$65&lt;$L$4:$L$65))</f>
        <v>1</v>
      </c>
      <c r="AM15" s="827">
        <f t="array" aca="1" ref="AM15" ca="1">SUM(($I$4:$I$65=AI15)*($K$4:$K$65&lt;&gt;"")*($L$4:$L$65&lt;&gt;"")*($K$4:$K$65=$L$4:$L$65),($N$4:$N$65=AI15)*($K$4:$K$65&lt;&gt;"")*($L$4:$L$65&lt;&gt;"")*($K$4:$K$65=$L$4:$L$65))</f>
        <v>0</v>
      </c>
      <c r="AN15" s="827">
        <f t="array" aca="1" ref="AN15" ca="1">SUM(($I$4:$I$65=AI15)*($L$4:$L$65&lt;&gt;"")*($K$4:$K$65&lt;&gt;"")*($K$4:$K$65&lt;$L$4:$L$65),($K$4:$K$65&lt;&gt;"")*($N$4:$N$65=AI15)*($L$4:$L$65&lt;&gt;"")*($K$4:$K$65&gt;$L$4:$L$65))</f>
        <v>2</v>
      </c>
      <c r="AO15" s="827">
        <f t="array" aca="1" ref="AO15" ca="1">SUMIFS($K$4:$K$65,$I$4:$I$65,AI15,$K$4:$K$65,"&lt;&gt;",$L$4:$L$65,"&lt;&gt;")+SUMIFS($L$4:$L$65,$N$4:$N$65,AI15,$K$4:$K$65,"&lt;&gt;",$L$4:$L$65,"&lt;&gt;")</f>
        <v>4</v>
      </c>
      <c r="AP15" s="827">
        <f t="array" aca="1" ref="AP15" ca="1">SUMIFS($K$4:$K$65,$N$4:$N$65,AI15,$K$4:$K$65,"&lt;&gt;",$L$4:$L$65,"&lt;&gt;")+SUMIFS($L$4:$L$65,$I$4:$I$65,AI15,$K$4:$K$65,"&lt;&gt;",$L$4:$L$65,"&lt;&gt;")</f>
        <v>7</v>
      </c>
      <c r="AQ15" s="827">
        <f ca="1">AO15-AP15</f>
        <v>-3</v>
      </c>
      <c r="AR15" s="827">
        <f ca="1">IF(AK15=0,-($AW$11*VLOOKUP(AI15,Tabla3[[NombreEquipo]:[Rank]],3,FALSE)),AJ15*$AW$4+AQ15*$AW$5+AO15*$AW$6+BA15-($AW$11*VLOOKUP(AI15,Tabla3[[NombreEquipo]:[Rank]],3,FALSE)/100))</f>
        <v>3322210499.9400001</v>
      </c>
      <c r="AS15" s="827">
        <f ca="1">AH15</f>
        <v>3</v>
      </c>
      <c r="AT15" s="827"/>
      <c r="AU15" s="827">
        <f ca="1">IFERROR(AR15-VLOOKUP(AI15,$AB$14:$AC$17,2,0),AR15)</f>
        <v>3322210499.9400001</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2</v>
      </c>
      <c r="BE15" s="835">
        <v>0</v>
      </c>
      <c r="BF15" s="835">
        <f t="array" aca="1" ref="BF15" ca="1">SUMIFS($K$12:$K$17,$I$12:$I$17,$AY15,$K$12:$K$17,"&lt;&gt;",$L$12:$L$17,"&lt;&gt;",$N$12:$N$17,BF13)+SUMIFS($L$12:$L$17,$I$12:$I$17,BF13,$K$12:$K$17,"&lt;&gt;",$L$12:$L$17,"&lt;&gt;",$N$12:$N$17,$AY15)</f>
        <v>0</v>
      </c>
      <c r="BG15" s="835">
        <f t="array" aca="1" ref="BG15" ca="1">SUMIFS($K$12:$K$17,$I$12:$I$17,$AY15,$K$12:$K$17,"&lt;&gt;",$L$12:$L$17,"&lt;&gt;",$N$12:$N$17,BG13)+SUMIFS($L$12:$L$17,$I$12:$I$17,BG13,$K$12:$K$17,"&lt;&gt;",$L$12:$L$17,"&lt;&gt;",$N$12:$N$17,$AY15)</f>
        <v>2</v>
      </c>
      <c r="BH15" s="835">
        <f ca="1">RANK(BI15,BI14:BI17,1)</f>
        <v>1</v>
      </c>
      <c r="BI15" s="835">
        <f ca="1">SUM(IF(AND(AJ15=AJ16,AQ15=AQ16,AO15=AO16),BL15,0),IF(AND(AJ15=AJ17,AQ15=AQ17,AO15=AO17),BM15,0),IF(AND(AJ15=AJ14,AQ15=AQ14,AO15=AO14),BJ15,0))</f>
        <v>0</v>
      </c>
      <c r="BJ15" s="835">
        <f ca="1">BD15-BE14</f>
        <v>-4</v>
      </c>
      <c r="BK15" s="835">
        <v>0</v>
      </c>
      <c r="BL15" s="835">
        <f ca="1">BF15-BE16</f>
        <v>-1</v>
      </c>
      <c r="BM15" s="835">
        <f ca="1">BG15-BE17</f>
        <v>2</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3</v>
      </c>
      <c r="BT15" s="829">
        <v>2</v>
      </c>
      <c r="BU15" s="829">
        <f ca="1">RANK(BW15,$BW$14:$BW$17)</f>
        <v>3</v>
      </c>
      <c r="BV15" s="829" t="str">
        <f ca="1">A14</f>
        <v>Irán</v>
      </c>
      <c r="BW15" s="829">
        <f t="shared" ca="1" si="8"/>
        <v>3322210499.9400001</v>
      </c>
      <c r="BX15" s="829" t="str">
        <f ca="1">VLOOKUP(Q15,$AH$14:$AI$17,2,0)</f>
        <v>Estados unidos</v>
      </c>
      <c r="BY15" s="829">
        <f ca="1">VLOOKUP($BX15,$AI$14:$AR$17,10,FALSE)</f>
        <v>5562210499.9300003</v>
      </c>
      <c r="CA15" s="829">
        <v>2</v>
      </c>
      <c r="CB15" s="829" t="str">
        <f ca="1">VLOOKUP(CA15,$AH$14:$AI$17,2,0)</f>
        <v>Estados unidos</v>
      </c>
      <c r="CC15" s="829">
        <f ca="1">VLOOKUP(CB15,$AI$14:$AR$17,2,FALSE)</f>
        <v>5</v>
      </c>
      <c r="CD15" s="836">
        <f ca="1">IF(SUM($AK$14:$AK$17)=12,MIN(ABS(BY14-BY15),ABS(BY15-BY16)),100)</f>
        <v>2239999999.9900002</v>
      </c>
      <c r="CE15" s="829">
        <f ca="1">VLOOKUP($CB15,$AI$14:$AR$17,9,FALSE)</f>
        <v>1</v>
      </c>
      <c r="CF15" s="829">
        <f ca="1">VLOOKUP($CB15,$AI$14:$AR$17,7,FALSE)</f>
        <v>2</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1</v>
      </c>
      <c r="CS15" s="827">
        <f t="array" aca="1" ref="CS15" ca="1">IF(AND($CC$15&lt;&gt;$CC$14,$CC$15&lt;&gt;$CC$16),1,0)</f>
        <v>1</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2"/>
      <c r="F16" s="21">
        <f>Horarios!C16</f>
        <v>44894.916666666664</v>
      </c>
      <c r="G16" s="22">
        <f>Horarios!C16</f>
        <v>44894.916666666664</v>
      </c>
      <c r="H16" s="21" t="s">
        <v>74</v>
      </c>
      <c r="I16" s="23" t="str">
        <f ca="1">A16</f>
        <v>Gales</v>
      </c>
      <c r="J16" s="24" t="str">
        <f ca="1">VLOOKUP(I16,Equipos!$H$2:$I$33,2,0)</f>
        <v>🏴󠁧󠁢󠁷󠁬󠁳󠁿</v>
      </c>
      <c r="K16" s="25">
        <v>0</v>
      </c>
      <c r="L16" s="25">
        <v>3</v>
      </c>
      <c r="M16" s="31" t="str">
        <f ca="1">VLOOKUP(N16,Equipos!$H$2:$I$33,2,0)</f>
        <v>🏴󠁧󠁢󠁥󠁮󠁧󠁿</v>
      </c>
      <c r="N16" s="50" t="str">
        <f ca="1">A13</f>
        <v>Inglaterra</v>
      </c>
      <c r="O16" s="385">
        <f t="shared" si="6"/>
        <v>1</v>
      </c>
      <c r="P16" s="88"/>
      <c r="Q16" s="133">
        <v>3</v>
      </c>
      <c r="R16" s="4" t="str">
        <f ca="1">VLOOKUP(Q16,$AG$14:$AI$17,3,0)</f>
        <v>Irán</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4</v>
      </c>
      <c r="Y16" s="3">
        <f ca="1">VLOOKUP($R16,$AI$14:$AR$17,8,FALSE)</f>
        <v>7</v>
      </c>
      <c r="Z16" s="134">
        <f ca="1">VLOOKUP($R16,$AI$14:$AR$17,9,FALSE)</f>
        <v>-3</v>
      </c>
      <c r="AA16" s="395">
        <f ca="1">IF(SUM($AK$14:$AK$17)=12,MIN(ABS(BY15-BY16),ABS(BY16-BY17)),100)</f>
        <v>2235000000.02</v>
      </c>
      <c r="AB16" s="101" t="str">
        <f ca="1">IF(AND(AA16&gt;=0,AA16&lt;90),VLOOKUP(Q16,$BU$14:$BV$17,2,0),"")</f>
        <v/>
      </c>
      <c r="AC16" s="78"/>
      <c r="AD16" s="79"/>
      <c r="AE16" s="365"/>
      <c r="AF16" s="828">
        <f ca="1">VLOOKUP($R16,$AI$14:$AR$17,10,FALSE)</f>
        <v>3322210499.9400001</v>
      </c>
      <c r="AG16" s="827">
        <f ca="1">RANK(AU16,$AU$14:$AU$17)</f>
        <v>2</v>
      </c>
      <c r="AH16" s="827">
        <f ca="1">RANK(AR16,$AR$14:$AR$17)</f>
        <v>2</v>
      </c>
      <c r="AI16" s="829" t="str">
        <f ca="1">A15</f>
        <v>Estados unidos</v>
      </c>
      <c r="AJ16" s="827">
        <f ca="1">AL16*3+AM16*1+AN16*0</f>
        <v>5</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2</v>
      </c>
      <c r="AN16" s="827">
        <f t="array" aca="1" ref="AN16" ca="1">SUM(($I$4:$I$65=AI16)*($L$4:$L$65&lt;&gt;"")*($K$4:$K$65&lt;&gt;"")*($K$4:$K$65&lt;$L$4:$L$65),($K$4:$K$65&lt;&gt;"")*($N$4:$N$65=AI16)*($L$4:$L$65&lt;&gt;"")*($K$4:$K$65&gt;$L$4:$L$65))</f>
        <v>0</v>
      </c>
      <c r="AO16" s="827">
        <f t="array" aca="1" ref="AO16" ca="1">SUMIFS($K$4:$K$65,$I$4:$I$65,AI16,$K$4:$K$65,"&lt;&gt;",$L$4:$L$65,"&lt;&gt;")+SUMIFS($L$4:$L$65,$N$4:$N$65,AI16,$K$4:$K$65,"&lt;&gt;",$L$4:$L$65,"&lt;&gt;")</f>
        <v>2</v>
      </c>
      <c r="AP16" s="827">
        <f t="array" aca="1" ref="AP16" ca="1">SUMIFS($K$4:$K$65,$N$4:$N$65,AI16,$K$4:$K$65,"&lt;&gt;",$L$4:$L$65,"&lt;&gt;")+SUMIFS($L$4:$L$65,$I$4:$I$65,AI16,$K$4:$K$65,"&lt;&gt;",$L$4:$L$65,"&lt;&gt;")</f>
        <v>1</v>
      </c>
      <c r="AQ16" s="827">
        <f ca="1">AO16-AP16</f>
        <v>1</v>
      </c>
      <c r="AR16" s="827">
        <f ca="1">IF(AK16=0,-($AW$11*VLOOKUP(AI16,Tabla3[[NombreEquipo]:[Rank]],3,FALSE)),AJ16*$AW$4+AQ16*$AW$5+AO16*$AW$6+BA16-($AW$11*VLOOKUP(AI16,Tabla3[[NombreEquipo]:[Rank]],3,FALSE)/100))</f>
        <v>5562210499.9300003</v>
      </c>
      <c r="AS16" s="827">
        <f ca="1">AH16</f>
        <v>2</v>
      </c>
      <c r="AT16" s="827"/>
      <c r="AU16" s="827">
        <f ca="1">IFERROR(AR16-VLOOKUP(AI16,$AB$14:$AC$17,2,0),AR16)</f>
        <v>5562210499.9300003</v>
      </c>
      <c r="AV16" s="827"/>
      <c r="AW16" s="830"/>
      <c r="AX16" s="827"/>
      <c r="AY16" s="834" t="str">
        <f ca="1">AI16</f>
        <v>Estados unidos</v>
      </c>
      <c r="AZ16" s="827">
        <f ca="1">COUNTIF(AJ14:AJ17,AJ16)</f>
        <v>1</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0</v>
      </c>
      <c r="BE16" s="835">
        <f t="array" aca="1" ref="BE16" ca="1">SUMIFS($K$12:$K$17,$I$12:$I$17,$AY16,$K$12:$K$17,"&lt;&gt;",$L$12:$L$17,"&lt;&gt;",$N$12:$N$17,BE13)+SUMIFS($L$12:$L$17,$I$12:$I$17,BE13,$K$12:$K$17,"&lt;&gt;",$L$12:$L$17,"&lt;&gt;",$N$12:$N$17,$AY16)</f>
        <v>1</v>
      </c>
      <c r="BF16" s="835">
        <v>0</v>
      </c>
      <c r="BG16" s="835">
        <f t="array" aca="1" ref="BG16" ca="1">SUMIFS($K$12:$K$17,$I$12:$I$17,$AY16,$K$12:$K$17,"&lt;&gt;",$L$12:$L$17,"&lt;&gt;",$N$12:$N$17,BG13)+SUMIFS($L$12:$L$17,$I$12:$I$17,BG13,$K$12:$K$17,"&lt;&gt;",$L$12:$L$17,"&lt;&gt;",$N$12:$N$17,$AY16)</f>
        <v>1</v>
      </c>
      <c r="BH16" s="835">
        <f ca="1">RANK(BI16,BI14:BI17,1)</f>
        <v>1</v>
      </c>
      <c r="BI16" s="835">
        <f ca="1">SUM(IF(AND(AJ16=AJ17,AQ16=AQ17,AO16=AO17),BM16,0),IF(AND(AJ16=AJ14,AQ16=AQ14,AO16=AO14),BJ16,0),IF(AND(AJ16=AJ15,AQ16=AQ15,AO16=AO15),BK16,0))</f>
        <v>0</v>
      </c>
      <c r="BJ16" s="835">
        <f ca="1">BD16-BF14</f>
        <v>0</v>
      </c>
      <c r="BK16" s="835">
        <f ca="1">BE16-BF15</f>
        <v>1</v>
      </c>
      <c r="BL16" s="835">
        <v>0</v>
      </c>
      <c r="BM16" s="835">
        <f ca="1">BG16-BF17</f>
        <v>0</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1</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1</v>
      </c>
      <c r="BT16" s="829">
        <v>3</v>
      </c>
      <c r="BU16" s="829">
        <f ca="1">RANK(BW16,$BW$14:$BW$17)</f>
        <v>2</v>
      </c>
      <c r="BV16" s="829" t="str">
        <f ca="1">A15</f>
        <v>Estados unidos</v>
      </c>
      <c r="BW16" s="829">
        <f t="shared" ca="1" si="8"/>
        <v>5562210499.9300003</v>
      </c>
      <c r="BX16" s="829" t="str">
        <f ca="1">VLOOKUP(Q16,$AH$14:$AI$17,2,0)</f>
        <v>Irán</v>
      </c>
      <c r="BY16" s="829">
        <f ca="1">VLOOKUP($BX16,$AI$14:$AR$17,10,FALSE)</f>
        <v>3322210499.9400001</v>
      </c>
      <c r="CA16" s="829">
        <v>3</v>
      </c>
      <c r="CB16" s="829" t="str">
        <f ca="1">VLOOKUP(CA16,$AH$14:$AI$17,2,0)</f>
        <v>Irán</v>
      </c>
      <c r="CC16" s="829">
        <f ca="1">VLOOKUP(CB16,$AI$14:$AR$17,2,FALSE)</f>
        <v>3</v>
      </c>
      <c r="CD16" s="836">
        <f ca="1">IF(SUM($AK$14:$AK$17)=12,MIN(ABS(BY15-BY16),ABS(BY16-BY17)),100)</f>
        <v>2235000000.02</v>
      </c>
      <c r="CE16" s="829">
        <f ca="1">VLOOKUP($CB16,$AI$14:$AR$17,9,FALSE)</f>
        <v>-3</v>
      </c>
      <c r="CF16" s="829">
        <f ca="1">VLOOKUP($CB16,$AI$14:$AR$17,7,FALSE)</f>
        <v>4</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75" thickBot="1">
      <c r="A17" s="810"/>
      <c r="B17" s="813"/>
      <c r="C17" s="810"/>
      <c r="D17" s="159"/>
      <c r="E17" s="883"/>
      <c r="F17" s="51">
        <f>Horarios!C17</f>
        <v>44894.916666666664</v>
      </c>
      <c r="G17" s="52">
        <f>Horarios!C17</f>
        <v>44894.916666666664</v>
      </c>
      <c r="H17" s="51" t="s">
        <v>74</v>
      </c>
      <c r="I17" s="53" t="str">
        <f ca="1">A14</f>
        <v>Irán</v>
      </c>
      <c r="J17" s="54" t="str">
        <f ca="1">VLOOKUP(I17,Equipos!$H$2:$I$33,2,0)</f>
        <v>🇮🇷</v>
      </c>
      <c r="K17" s="55">
        <v>0</v>
      </c>
      <c r="L17" s="55">
        <v>1</v>
      </c>
      <c r="M17" s="56" t="str">
        <f ca="1">VLOOKUP(N17,Equipos!$H$2:$I$33,2,0)</f>
        <v>🇺🇸</v>
      </c>
      <c r="N17" s="57" t="str">
        <f ca="1">A15</f>
        <v>Estados unidos</v>
      </c>
      <c r="O17" s="385">
        <f t="shared" si="6"/>
        <v>1</v>
      </c>
      <c r="P17" s="88"/>
      <c r="Q17" s="135">
        <v>4</v>
      </c>
      <c r="R17" s="136" t="str">
        <f ca="1">VLOOKUP(Q17,$AG$14:$AI$17,3,0)</f>
        <v>Gales</v>
      </c>
      <c r="S17" s="137">
        <f ca="1">VLOOKUP(R17,$AI$14:$AR$17,2,FALSE)</f>
        <v>1</v>
      </c>
      <c r="T17" s="137">
        <f ca="1">VLOOKUP($R17,$AI$14:$AR$17,3,FALSE)</f>
        <v>3</v>
      </c>
      <c r="U17" s="137">
        <f ca="1">VLOOKUP($R17,$AI$14:$AR$17,4,FALSE)</f>
        <v>0</v>
      </c>
      <c r="V17" s="137">
        <f ca="1">VLOOKUP($R17,$AI$14:$AR$17,5,FALSE)</f>
        <v>1</v>
      </c>
      <c r="W17" s="137">
        <f ca="1">VLOOKUP($R17,$AI$14:$AR$17,6,FALSE)</f>
        <v>2</v>
      </c>
      <c r="X17" s="137">
        <f ca="1">VLOOKUP($R17,$AI$14:$AR$17,7,FALSE)</f>
        <v>1</v>
      </c>
      <c r="Y17" s="137">
        <f ca="1">VLOOKUP($R17,$AI$14:$AR$17,8,FALSE)</f>
        <v>6</v>
      </c>
      <c r="Z17" s="138">
        <f ca="1">VLOOKUP($R17,$AI$14:$AR$17,9,FALSE)</f>
        <v>-5</v>
      </c>
      <c r="AA17" s="395">
        <f ca="1">IF(SUM($AK$14:$AK$17)=12,MIN(ABS(BY16-BY17),ABS(BY17-BY18)),100)</f>
        <v>1087210499.9200001</v>
      </c>
      <c r="AB17" s="101" t="str">
        <f ca="1">IF(AND(AA17&gt;=0,AA17&lt;90),VLOOKUP(Q17,$BU$14:$BV$17,2,0),"")</f>
        <v/>
      </c>
      <c r="AC17" s="78"/>
      <c r="AD17" s="79"/>
      <c r="AE17" s="365"/>
      <c r="AF17" s="828">
        <f ca="1">VLOOKUP($R17,$AI$14:$AR$17,10,FALSE)</f>
        <v>1087210499.9200001</v>
      </c>
      <c r="AG17" s="827">
        <f ca="1">RANK(AU17,$AU$14:$AU$17)</f>
        <v>4</v>
      </c>
      <c r="AH17" s="827">
        <f ca="1">RANK(AR17,$AR$14:$AR$17)</f>
        <v>4</v>
      </c>
      <c r="AI17" s="829" t="str">
        <f ca="1">A16</f>
        <v>Gales</v>
      </c>
      <c r="AJ17" s="827">
        <f ca="1">AL17*3+AM17*1+AN17*0</f>
        <v>1</v>
      </c>
      <c r="AK17" s="827">
        <f ca="1">COUNTIFS($I$4:$I$65,AI17,$K$4:$K$65,"&lt;&gt;",$L$4:$L$65,"&lt;&gt;")+COUNTIFS($N$4:$N$65,AI17,$L$4:$L$65,"&lt;&gt;",$K$4:$K$65,"&lt;&gt;")</f>
        <v>3</v>
      </c>
      <c r="AL17" s="827">
        <f t="array" aca="1" ref="AL17" ca="1">SUM(($I$4:$I$65=AI17)*($K$4:$K$65&lt;&gt;"")*($L$4:$L$65&lt;&gt;"")*($K$4:$K$65&gt;$L$4:$L$65),($N$4:$N$65=AI17)*($K$4:$K$65&lt;&gt;"")*($L$4:$L$65&lt;&gt;"")*($K$4:$K$65&lt;$L$4:$L$65))</f>
        <v>0</v>
      </c>
      <c r="AM17" s="827">
        <f t="array" aca="1" ref="AM17" ca="1">SUM(($I$4:$I$65=AI17)*($K$4:$K$65&lt;&gt;"")*($L$4:$L$65&lt;&gt;"")*($K$4:$K$65=$L$4:$L$65),($N$4:$N$65=AI17)*($K$4:$K$65&lt;&gt;"")*($L$4:$L$65&lt;&gt;"")*($K$4:$K$65=$L$4:$L$65))</f>
        <v>1</v>
      </c>
      <c r="AN17" s="827">
        <f t="array" aca="1" ref="AN17" ca="1">SUM(($I$4:$I$65=AI17)*($L$4:$L$65&lt;&gt;"")*($K$4:$K$65&lt;&gt;"")*($K$4:$K$65&lt;$L$4:$L$65),($K$4:$K$65&lt;&gt;"")*($N$4:$N$65=AI17)*($L$4:$L$65&lt;&gt;"")*($K$4:$K$65&gt;$L$4:$L$65))</f>
        <v>2</v>
      </c>
      <c r="AO17" s="827">
        <f t="array" aca="1" ref="AO17" ca="1">SUMIFS($K$4:$K$65,$I$4:$I$65,AI17,$K$4:$K$65,"&lt;&gt;",$L$4:$L$65,"&lt;&gt;")+SUMIFS($L$4:$L$65,$N$4:$N$65,AI17,$K$4:$K$65,"&lt;&gt;",$L$4:$L$65,"&lt;&gt;")</f>
        <v>1</v>
      </c>
      <c r="AP17" s="827">
        <f t="array" aca="1" ref="AP17" ca="1">SUMIFS($K$4:$K$65,$N$4:$N$65,AI17,$K$4:$K$65,"&lt;&gt;",$L$4:$L$65,"&lt;&gt;")+SUMIFS($L$4:$L$65,$I$4:$I$65,AI17,$K$4:$K$65,"&lt;&gt;",$L$4:$L$65,"&lt;&gt;")</f>
        <v>6</v>
      </c>
      <c r="AQ17" s="827">
        <f ca="1">AO17-AP17</f>
        <v>-5</v>
      </c>
      <c r="AR17" s="827">
        <f ca="1">IF(AK17=0,-($AW$11*VLOOKUP(AI17,Tabla3[[NombreEquipo]:[Rank]],3,FALSE)),AJ17*$AW$4+AQ17*$AW$5+AO17*$AW$6+BA17-($AW$11*VLOOKUP(AI17,Tabla3[[NombreEquipo]:[Rank]],3,FALSE)/100))</f>
        <v>1087210499.9200001</v>
      </c>
      <c r="AS17" s="827">
        <f ca="1">AH17</f>
        <v>4</v>
      </c>
      <c r="AT17" s="827"/>
      <c r="AU17" s="827">
        <f ca="1">IFERROR(AR17-VLOOKUP(AI17,$AB$14:$AC$17,2,0),AR17)</f>
        <v>1087210499.9200001</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0</v>
      </c>
      <c r="BE17" s="835">
        <f t="array" aca="1" ref="BE17" ca="1">SUMIFS($K$12:$K$17,$I$12:$I$17,$AY17,$K$12:$K$17,"&lt;&gt;",$L$12:$L$17,"&lt;&gt;",$N$12:$N$17,BE13)+SUMIFS($L$12:$L$17,$I$12:$I$17,BE13,$K$12:$K$17,"&lt;&gt;",$L$12:$L$17,"&lt;&gt;",$N$12:$N$17,$AY17)</f>
        <v>0</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-3</v>
      </c>
      <c r="BK17" s="835">
        <f ca="1">BE17-BG15</f>
        <v>-2</v>
      </c>
      <c r="BL17" s="835">
        <f ca="1">BF17-BG16</f>
        <v>0</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0</v>
      </c>
      <c r="BR17" s="835">
        <f t="array" aca="1" ref="BR17" ca="1">SUM((I$4:I$49=AY17)*(N$4:N$49=BR13)*(K$4:K$49&lt;&gt;"")*(L$4:L$49&lt;&gt;"")*(K$4:K$49&gt;L$4:L$49)*3,(N$4:N$49=AY17)*(I$4:I$49=BR13)*(K$4:K$49&lt;&gt;"")*(L$4:L$49&lt;&gt;"")*(K$4:K$49=L$4:L$49)*1,(N$4:N$49=AY17)*(I$4:I$49=BR13)*(K$4:K$49&lt;&gt;"")*(L$4:L$49&lt;&gt;"")*(K$4:K$49&lt;L$4:L$49)*3,(I$4:I$49=AY17)*(N$4:N$49=BR13)*(K$4:K$49&lt;&gt;"")*(L$4:L$49&lt;&gt;"")*(K$4:K$49=L$4:L$49)*1)</f>
        <v>1</v>
      </c>
      <c r="BS17" s="835">
        <v>0</v>
      </c>
      <c r="BT17" s="829">
        <v>4</v>
      </c>
      <c r="BU17" s="829">
        <f ca="1">RANK(BW17,$BW$14:$BW$17)</f>
        <v>4</v>
      </c>
      <c r="BV17" s="829" t="str">
        <f ca="1">A16</f>
        <v>Gales</v>
      </c>
      <c r="BW17" s="829">
        <f t="shared" ca="1" si="8"/>
        <v>1087210499.9200001</v>
      </c>
      <c r="BX17" s="829" t="str">
        <f ca="1">VLOOKUP(Q17,$AH$14:$AI$17,2,0)</f>
        <v>Gales</v>
      </c>
      <c r="BY17" s="829">
        <f ca="1">VLOOKUP($BX17,$AI$14:$AR$17,10,FALSE)</f>
        <v>1087210499.9200001</v>
      </c>
      <c r="CA17" s="829">
        <v>4</v>
      </c>
      <c r="CB17" s="829" t="str">
        <f ca="1">VLOOKUP(CA17,$AH$14:$AI$17,2,0)</f>
        <v>Gales</v>
      </c>
      <c r="CC17" s="829">
        <f ca="1">VLOOKUP(CB17,$AI$14:$AR$17,2,FALSE)</f>
        <v>1</v>
      </c>
      <c r="CD17" s="836">
        <f ca="1">IF(SUM($AK$14:$AK$17)=12,MIN(ABS(BY16-BY17),ABS(BY17-BY18)),100)</f>
        <v>1087210499.9200001</v>
      </c>
      <c r="CE17" s="829">
        <f ca="1">VLOOKUP($CB17,$AI$14:$AR$17,9,FALSE)</f>
        <v>-5</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7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925" t="s">
        <v>2</v>
      </c>
      <c r="F20" s="58">
        <f>Horarios!C20</f>
        <v>44887.541666666664</v>
      </c>
      <c r="G20" s="59">
        <f>Horarios!C20</f>
        <v>44887.541666666664</v>
      </c>
      <c r="H20" s="58" t="s">
        <v>72</v>
      </c>
      <c r="I20" s="60" t="str">
        <f ca="1">A21</f>
        <v>Argentina</v>
      </c>
      <c r="J20" s="61" t="str">
        <f ca="1">VLOOKUP(I20,Equipos!$H$2:$I$33,2,0)</f>
        <v>🇦🇷</v>
      </c>
      <c r="K20" s="62">
        <v>1</v>
      </c>
      <c r="L20" s="62">
        <v>2</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4" t="s">
        <v>67</v>
      </c>
      <c r="AC20" s="874"/>
      <c r="AD20" s="874"/>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1</v>
      </c>
      <c r="CP20" s="827">
        <f t="shared" ca="1" si="10"/>
        <v>0</v>
      </c>
      <c r="CQ20" s="827">
        <f t="shared" ca="1" si="10"/>
        <v>2</v>
      </c>
      <c r="CR20" s="827">
        <f t="shared" ca="1" si="10"/>
        <v>1</v>
      </c>
      <c r="CS20" s="827">
        <f t="shared" ca="1" si="10"/>
        <v>2</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75" thickBot="1">
      <c r="A21" s="812" t="str">
        <f t="array" aca="1" ref="A21" ca="1">IF(ROWS(A$21:A21)&lt;=$C$20,INDEX(INDIRECT(A$20),SMALL(IF(Nivell=$B$20,ROW(Nivell)-ROW(Equipos!$C$2)+1),ROWS(B$20:B20))),"")</f>
        <v>Argentina</v>
      </c>
      <c r="B21" s="813"/>
      <c r="C21" s="813"/>
      <c r="D21" s="159"/>
      <c r="E21" s="926"/>
      <c r="F21" s="26">
        <f>Horarios!C21</f>
        <v>44887.791666666664</v>
      </c>
      <c r="G21" s="27">
        <f>Horarios!C21</f>
        <v>44887.791666666664</v>
      </c>
      <c r="H21" s="26" t="s">
        <v>72</v>
      </c>
      <c r="I21" s="28" t="str">
        <f ca="1">A23</f>
        <v>México</v>
      </c>
      <c r="J21" s="29" t="str">
        <f ca="1">VLOOKUP(I21,Equipos!$H$2:$I$33,2,0)</f>
        <v>🇲🇽</v>
      </c>
      <c r="K21" s="30">
        <v>0</v>
      </c>
      <c r="L21" s="30">
        <v>0</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874"/>
      <c r="AC21" s="874"/>
      <c r="AD21" s="874"/>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6"/>
      <c r="F22" s="26">
        <f>Horarios!C22</f>
        <v>44891.666666666664</v>
      </c>
      <c r="G22" s="27">
        <f>Horarios!C22</f>
        <v>44891.666666666664</v>
      </c>
      <c r="H22" s="26" t="s">
        <v>73</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6</v>
      </c>
      <c r="T22" s="148">
        <f ca="1">VLOOKUP($R22,$AI$22:$AR$25,3,FALSE)</f>
        <v>3</v>
      </c>
      <c r="U22" s="148">
        <f ca="1">VLOOKUP($R22,$AI$22:$AR$25,4,FALSE)</f>
        <v>2</v>
      </c>
      <c r="V22" s="148">
        <f ca="1">VLOOKUP($R22,$AI$22:$AR$25,5,FALSE)</f>
        <v>0</v>
      </c>
      <c r="W22" s="148">
        <f ca="1">VLOOKUP($R22,$AI$22:$AR$25,6,FALSE)</f>
        <v>1</v>
      </c>
      <c r="X22" s="148">
        <f ca="1">VLOOKUP($R22,$AI$22:$AR$25,7,FALSE)</f>
        <v>5</v>
      </c>
      <c r="Y22" s="148">
        <f ca="1">VLOOKUP($R22,$AI$22:$AR$25,8,FALSE)</f>
        <v>2</v>
      </c>
      <c r="Z22" s="149">
        <f ca="1">VLOOKUP($R22,$AI$22:$AR$25,9,FALSE)</f>
        <v>3</v>
      </c>
      <c r="AA22" s="395">
        <f ca="1">IF(SUM($AK$22:$AK$25)=12,MIN(ABS(BY21-BY22),ABS(BY22-BY23)),100)</f>
        <v>2240000000.0299997</v>
      </c>
      <c r="AB22" s="101" t="str">
        <f ca="1">IF(AND(AA22&gt;=0,AA22&lt;90),VLOOKUP(Q22,$BU$22:$BV$25,2,0),"")</f>
        <v/>
      </c>
      <c r="AC22" s="78"/>
      <c r="AD22" s="79"/>
      <c r="AE22" s="365"/>
      <c r="AF22" s="828">
        <f ca="1">VLOOKUP($R22,$AI$22:$AR$25,10,FALSE)</f>
        <v>6686210499.9099998</v>
      </c>
      <c r="AG22" s="827">
        <f ca="1">RANK(AU22,$AU$22:$AU$25)</f>
        <v>1</v>
      </c>
      <c r="AH22" s="827">
        <f ca="1">RANK(AR22,$AR$22:$AR$25)</f>
        <v>1</v>
      </c>
      <c r="AI22" s="829" t="str">
        <f ca="1">A21</f>
        <v>Argentina</v>
      </c>
      <c r="AJ22" s="827">
        <f ca="1">AL22*3+AM22*1+AN22*0</f>
        <v>6</v>
      </c>
      <c r="AK22" s="827">
        <f ca="1">COUNTIFS($I$4:$I$65,AI22,$K$4:$K$65,"&lt;&gt;",$L$4:$L$65,"&lt;&gt;")+COUNTIFS($N$4:$N$65,AI22,$L$4:$L$65,"&lt;&gt;",$K$4:$K$65,"&lt;&gt;")</f>
        <v>3</v>
      </c>
      <c r="AL22" s="827">
        <f t="array" aca="1" ref="AL22" ca="1">SUM(($I$4:$I$65=AI22)*($K$4:$K$65&lt;&gt;"")*($L$4:$L$65&lt;&gt;"")*($K$4:$K$65&gt;$L$4:$L$65),($N$4:$N$65=AI22)*($K$4:$K$65&lt;&gt;"")*($L$4:$L$65&lt;&gt;"")*($K$4:$K$65&lt;$L$4:$L$65))</f>
        <v>2</v>
      </c>
      <c r="AM22" s="827">
        <f t="array" aca="1" ref="AM22" ca="1">SUM(($I$4:$I$65=AI22)*($K$4:$K$65&lt;&gt;"")*($L$4:$L$65&lt;&gt;"")*($K$4:$K$65=$L$4:$L$65),($N$4:$N$65=AI22)*($K$4:$K$65&lt;&gt;"")*($L$4:$L$65&lt;&gt;"")*($K$4:$K$65=$L$4:$L$65))</f>
        <v>0</v>
      </c>
      <c r="AN22" s="827">
        <f t="array" aca="1" ref="AN22" ca="1">SUM(($I$4:$I$65=AI22)*($L$4:$L$65&lt;&gt;"")*($K$4:$K$65&lt;&gt;"")*($K$4:$K$65&lt;$L$4:$L$65),($K$4:$K$65&lt;&gt;"")*($N$4:$N$65=AI22)*($L$4:$L$65&lt;&gt;"")*($K$4:$K$65&gt;$L$4:$L$65))</f>
        <v>1</v>
      </c>
      <c r="AO22" s="827">
        <f t="array" aca="1" ref="AO22" ca="1">SUMIFS($K$4:$K$65,$I$4:$I$65,AI22,$K$4:$K$65,"&lt;&gt;",$L$4:$L$65,"&lt;&gt;")+SUMIFS($L$4:$L$65,$N$4:$N$65,AI22,$K$4:$K$65,"&lt;&gt;",$L$4:$L$65,"&lt;&gt;")</f>
        <v>5</v>
      </c>
      <c r="AP22" s="827">
        <f t="array" aca="1" ref="AP22" ca="1">SUMIFS($K$4:$K$65,$N$4:$N$65,AI22,$K$4:$K$65,"&lt;&gt;",$L$4:$L$65,"&lt;&gt;")+SUMIFS($L$4:$L$65,$I$4:$I$65,AI22,$K$4:$K$65,"&lt;&gt;",$L$4:$L$65,"&lt;&gt;")</f>
        <v>2</v>
      </c>
      <c r="AQ22" s="827">
        <f ca="1">AO22-AP22</f>
        <v>3</v>
      </c>
      <c r="AR22" s="827">
        <f ca="1">IF(AK22=0,-($AW$11*VLOOKUP(AI22,Tabla3[[NombreEquipo]:[Rank]],3,FALSE)),AJ22*$AW$4+AQ22*$AW$5+AO22*$AW$6+BA22-($AW$11*VLOOKUP(AI22,Tabla3[[NombreEquipo]:[Rank]],3,FALSE)/100))</f>
        <v>6686210499.9099998</v>
      </c>
      <c r="AS22" s="827">
        <f ca="1">AH22</f>
        <v>1</v>
      </c>
      <c r="AT22" s="827"/>
      <c r="AU22" s="827">
        <f ca="1">IFERROR(AR22-VLOOKUP(AI22,$AB$22:$AC$25,2,0),AR22)</f>
        <v>6686210499.9099998</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1</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-1</v>
      </c>
      <c r="BL22" s="835">
        <f ca="1">BF22-BD24</f>
        <v>2</v>
      </c>
      <c r="BM22" s="835">
        <f ca="1">BG22-BD25</f>
        <v>2</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0</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6686210499.9099998</v>
      </c>
      <c r="BX22" s="829" t="str">
        <f ca="1">VLOOKUP(Q22,$AH$22:$AI$25,2,0)</f>
        <v>Argentina</v>
      </c>
      <c r="BY22" s="829">
        <f ca="1">VLOOKUP($BX22,$AI$22:$AR$25,10,FALSE)</f>
        <v>6686210499.9099998</v>
      </c>
      <c r="CA22" s="829">
        <v>1</v>
      </c>
      <c r="CB22" s="829" t="str">
        <f ca="1">VLOOKUP(CA22,$AH$22:$AI$25,2,0)</f>
        <v>Argentina</v>
      </c>
      <c r="CC22" s="829">
        <f ca="1">VLOOKUP(CB22,$AI$22:$AR$25,2,FALSE)</f>
        <v>6</v>
      </c>
      <c r="CD22" s="836">
        <f ca="1">IF(SUM($AK$22:$AK$25)=12,MIN(ABS(BY21-BY22),ABS(BY22-BY23)),100)</f>
        <v>2240000000.0299997</v>
      </c>
      <c r="CE22" s="829">
        <f ca="1">VLOOKUP($CB22,$AI$22:$AR$25,9,FALSE)</f>
        <v>3</v>
      </c>
      <c r="CF22" s="829">
        <f ca="1">VLOOKUP($CB22,$AI$22:$AR$25,7,FALSE)</f>
        <v>5</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6"/>
      <c r="F23" s="26">
        <f>Horarios!C23</f>
        <v>44891.916666666664</v>
      </c>
      <c r="G23" s="27">
        <f>Horarios!C23</f>
        <v>44891.916666666664</v>
      </c>
      <c r="H23" s="26" t="s">
        <v>73</v>
      </c>
      <c r="I23" s="28" t="str">
        <f ca="1">A21</f>
        <v>Argentina</v>
      </c>
      <c r="J23" s="29" t="str">
        <f ca="1">VLOOKUP(I23,Equipos!$H$2:$I$33,2,0)</f>
        <v>🇦🇷</v>
      </c>
      <c r="K23" s="30">
        <v>2</v>
      </c>
      <c r="L23" s="30">
        <v>0</v>
      </c>
      <c r="M23" s="373" t="str">
        <f ca="1">VLOOKUP(N23,Equipos!$H$2:$I$33,2,0)</f>
        <v>🇲🇽</v>
      </c>
      <c r="N23" s="64" t="str">
        <f ca="1">A23</f>
        <v>México</v>
      </c>
      <c r="O23" s="385">
        <f t="shared" si="11"/>
        <v>1</v>
      </c>
      <c r="P23" s="88"/>
      <c r="Q23" s="150">
        <v>2</v>
      </c>
      <c r="R23" s="4" t="str">
        <f ca="1">VLOOKUP(Q23,$AG$22:$AI$25,3,0)</f>
        <v>Polonia</v>
      </c>
      <c r="S23" s="3">
        <f ca="1">VLOOKUP(R23,$AI$22:$AR$25,2,FALSE)</f>
        <v>4</v>
      </c>
      <c r="T23" s="3">
        <f ca="1">VLOOKUP($R23,$AI$22:$AR$25,3,FALSE)</f>
        <v>3</v>
      </c>
      <c r="U23" s="3">
        <f ca="1">VLOOKUP($R23,$AI$22:$AR$25,4,FALSE)</f>
        <v>1</v>
      </c>
      <c r="V23" s="3">
        <f ca="1">VLOOKUP($R23,$AI$22:$AR$25,5,FALSE)</f>
        <v>1</v>
      </c>
      <c r="W23" s="3">
        <f ca="1">VLOOKUP($R23,$AI$22:$AR$25,6,FALSE)</f>
        <v>1</v>
      </c>
      <c r="X23" s="3">
        <f ca="1">VLOOKUP($R23,$AI$22:$AR$25,7,FALSE)</f>
        <v>2</v>
      </c>
      <c r="Y23" s="3">
        <f ca="1">VLOOKUP($R23,$AI$22:$AR$25,8,FALSE)</f>
        <v>2</v>
      </c>
      <c r="Z23" s="151">
        <f ca="1">VLOOKUP($R23,$AI$22:$AR$25,9,FALSE)</f>
        <v>0</v>
      </c>
      <c r="AA23" s="395">
        <f ca="1">IF(SUM($AK$22:$AK$25)=12,MIN(ABS(BY22-BY23),ABS(BY23-BY24)),100)</f>
        <v>4999999.9899997711</v>
      </c>
      <c r="AB23" s="101" t="str">
        <f ca="1">IF(AND(AA23&gt;=0,AA23&lt;90),VLOOKUP(Q23,$BU$22:$BV$25,2,0),"")</f>
        <v/>
      </c>
      <c r="AC23" s="78"/>
      <c r="AD23" s="79"/>
      <c r="AE23" s="365"/>
      <c r="AF23" s="828">
        <f ca="1">VLOOKUP($R23,$AI$22:$AR$25,10,FALSE)</f>
        <v>4446210499.8800001</v>
      </c>
      <c r="AG23" s="827">
        <f ca="1">RANK(AU23,$AU$22:$AU$25)</f>
        <v>4</v>
      </c>
      <c r="AH23" s="827">
        <f ca="1">RANK(AR23,$AR$22:$AR$25)</f>
        <v>4</v>
      </c>
      <c r="AI23" s="829" t="str">
        <f ca="1">A22</f>
        <v>Arabia Saudita</v>
      </c>
      <c r="AJ23" s="827">
        <f ca="1">AL23*3+AM23*1+AN23*0</f>
        <v>3</v>
      </c>
      <c r="AK23" s="827">
        <f ca="1">COUNTIFS($I$4:$I$65,AI23,$K$4:$K$65,"&lt;&gt;",$L$4:$L$65,"&lt;&gt;")+COUNTIFS($N$4:$N$65,AI23,$L$4:$L$65,"&lt;&gt;",$K$4:$K$65,"&lt;&gt;")</f>
        <v>3</v>
      </c>
      <c r="AL23" s="827">
        <f t="array" aca="1" ref="AL23" ca="1">SUM(($I$4:$I$65=AI23)*($K$4:$K$65&lt;&gt;"")*($L$4:$L$65&lt;&gt;"")*($K$4:$K$65&gt;$L$4:$L$65),($N$4:$N$65=AI23)*($K$4:$K$65&lt;&gt;"")*($L$4:$L$65&lt;&gt;"")*($K$4:$K$65&lt;$L$4:$L$65))</f>
        <v>1</v>
      </c>
      <c r="AM23" s="827">
        <f t="array" aca="1" ref="AM23" ca="1">SUM(($I$4:$I$65=AI23)*($K$4:$K$65&lt;&gt;"")*($L$4:$L$65&lt;&gt;"")*($K$4:$K$65=$L$4:$L$65),($N$4:$N$65=AI23)*($K$4:$K$65&lt;&gt;"")*($L$4:$L$65&lt;&gt;"")*($K$4:$K$65=$L$4:$L$65))</f>
        <v>0</v>
      </c>
      <c r="AN23" s="827">
        <f t="array" aca="1" ref="AN23" ca="1">SUM(($I$4:$I$65=AI23)*($L$4:$L$65&lt;&gt;"")*($K$4:$K$65&lt;&gt;"")*($K$4:$K$65&lt;$L$4:$L$65),($K$4:$K$65&lt;&gt;"")*($N$4:$N$65=AI23)*($L$4:$L$65&lt;&gt;"")*($K$4:$K$65&gt;$L$4:$L$65))</f>
        <v>2</v>
      </c>
      <c r="AO23" s="827">
        <f t="array" aca="1" ref="AO23" ca="1">SUMIFS($K$4:$K$65,$I$4:$I$65,AI23,$K$4:$K$65,"&lt;&gt;",$L$4:$L$65,"&lt;&gt;")+SUMIFS($L$4:$L$65,$N$4:$N$65,AI23,$K$4:$K$65,"&lt;&gt;",$L$4:$L$65,"&lt;&gt;")</f>
        <v>3</v>
      </c>
      <c r="AP23" s="827">
        <f t="array" aca="1" ref="AP23" ca="1">SUMIFS($K$4:$K$65,$N$4:$N$65,AI23,$K$4:$K$65,"&lt;&gt;",$L$4:$L$65,"&lt;&gt;")+SUMIFS($L$4:$L$65,$I$4:$I$65,AI23,$K$4:$K$65,"&lt;&gt;",$L$4:$L$65,"&lt;&gt;")</f>
        <v>5</v>
      </c>
      <c r="AQ23" s="827">
        <f ca="1">AO23-AP23</f>
        <v>-2</v>
      </c>
      <c r="AR23" s="827">
        <f ca="1">IF(AK23=0,-($AW$11*VLOOKUP(AI23,Tabla3[[NombreEquipo]:[Rank]],3,FALSE)),AJ23*$AW$4+AQ23*$AW$5+AO23*$AW$6+BA23-($AW$11*VLOOKUP(AI23,Tabla3[[NombreEquipo]:[Rank]],3,FALSE)/100))</f>
        <v>3326210499.9000001</v>
      </c>
      <c r="AS23" s="827">
        <f ca="1">AH23</f>
        <v>4</v>
      </c>
      <c r="AT23" s="827"/>
      <c r="AU23" s="827">
        <f ca="1">IFERROR(AR23-VLOOKUP(AI23,$AB$22:$AC$25,2,0),AR23)</f>
        <v>3326210499.9000001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2</v>
      </c>
      <c r="BE23" s="835">
        <v>0</v>
      </c>
      <c r="BF23" s="835">
        <f t="array" aca="1" ref="BF23" ca="1">SUMIFS($K$20:$K$25,$I$20:$I$25,$AY23,$K$20:$K$25,"&lt;&gt;",$L$20:$L$25,"&lt;&gt;",$N$20:$N$25,BF21)+SUMIFS($L$20:$L$25,$I$20:$I$25,BF21,$K$20:$K$25,"&lt;&gt;",$L$20:$L$25,"&lt;&gt;",$N$20:$N$25,$AY23)</f>
        <v>1</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1</v>
      </c>
      <c r="BK23" s="835">
        <v>0</v>
      </c>
      <c r="BL23" s="835">
        <f ca="1">BF23-BE24</f>
        <v>-1</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3</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3326210499.9000001</v>
      </c>
      <c r="BX23" s="829" t="str">
        <f ca="1">VLOOKUP(Q23,$AH$22:$AI$25,2,0)</f>
        <v>Polonia</v>
      </c>
      <c r="BY23" s="829">
        <f ca="1">VLOOKUP($BX23,$AI$22:$AR$25,10,FALSE)</f>
        <v>4446210499.8800001</v>
      </c>
      <c r="CA23" s="829">
        <v>2</v>
      </c>
      <c r="CB23" s="829" t="str">
        <f ca="1">VLOOKUP(CA23,$AH$22:$AI$25,2,0)</f>
        <v>Polonia</v>
      </c>
      <c r="CC23" s="829">
        <f ca="1">VLOOKUP(CB23,$AI$22:$AR$25,2,FALSE)</f>
        <v>4</v>
      </c>
      <c r="CD23" s="836">
        <f ca="1">IF(SUM($AK$22:$AK$25)=12,MIN(ABS(BY22-BY23),ABS(BY23-BY24)),100)</f>
        <v>4999999.9899997711</v>
      </c>
      <c r="CE23" s="829">
        <f ca="1">VLOOKUP($CB23,$AI$22:$AR$25,9,FALSE)</f>
        <v>0</v>
      </c>
      <c r="CF23" s="829">
        <f ca="1">VLOOKUP($CB23,$AI$22:$AR$25,7,FALSE)</f>
        <v>2</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0</v>
      </c>
      <c r="CS23" s="827">
        <f t="array" aca="1" ref="CS23" ca="1">IF(AND($CC$23&lt;&gt;$CC$22,$CC$23&lt;&gt;$CC$24),1,0)</f>
        <v>0</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6"/>
      <c r="F24" s="26">
        <f>Horarios!C24</f>
        <v>44895.916666666664</v>
      </c>
      <c r="G24" s="27">
        <f>Horarios!C24</f>
        <v>44895.916666666664</v>
      </c>
      <c r="H24" s="26" t="s">
        <v>74</v>
      </c>
      <c r="I24" s="28" t="str">
        <f ca="1">A24</f>
        <v>Polonia</v>
      </c>
      <c r="J24" s="29" t="str">
        <f ca="1">VLOOKUP(I24,Equipos!$H$2:$I$33,2,0)</f>
        <v>🇵🇱</v>
      </c>
      <c r="K24" s="30">
        <v>0</v>
      </c>
      <c r="L24" s="30">
        <v>2</v>
      </c>
      <c r="M24" s="373" t="str">
        <f ca="1">VLOOKUP(N24,Equipos!$H$2:$I$33,2,0)</f>
        <v>🇦🇷</v>
      </c>
      <c r="N24" s="64" t="str">
        <f ca="1">A21</f>
        <v>Argentina</v>
      </c>
      <c r="O24" s="385">
        <f t="shared" si="11"/>
        <v>1</v>
      </c>
      <c r="P24" s="88"/>
      <c r="Q24" s="150">
        <v>3</v>
      </c>
      <c r="R24" s="4" t="str">
        <f ca="1">VLOOKUP(Q24,$AG$22:$AI$25,3,0)</f>
        <v>México</v>
      </c>
      <c r="S24" s="3">
        <f ca="1">VLOOKUP(R24,$AI$22:$AR$25,2,FALSE)</f>
        <v>4</v>
      </c>
      <c r="T24" s="3">
        <f ca="1">VLOOKUP($R24,$AI$22:$AR$25,3,FALSE)</f>
        <v>3</v>
      </c>
      <c r="U24" s="3">
        <f ca="1">VLOOKUP($R24,$AI$22:$AR$25,4,FALSE)</f>
        <v>1</v>
      </c>
      <c r="V24" s="3">
        <f ca="1">VLOOKUP($R24,$AI$22:$AR$25,5,FALSE)</f>
        <v>1</v>
      </c>
      <c r="W24" s="3">
        <f ca="1">VLOOKUP($R24,$AI$22:$AR$25,6,FALSE)</f>
        <v>1</v>
      </c>
      <c r="X24" s="3">
        <f ca="1">VLOOKUP($R24,$AI$22:$AR$25,7,FALSE)</f>
        <v>2</v>
      </c>
      <c r="Y24" s="3">
        <f ca="1">VLOOKUP($R24,$AI$22:$AR$25,8,FALSE)</f>
        <v>3</v>
      </c>
      <c r="Z24" s="151">
        <f ca="1">VLOOKUP($R24,$AI$22:$AR$25,9,FALSE)</f>
        <v>-1</v>
      </c>
      <c r="AA24" s="395">
        <f ca="1">IF(SUM($AK$22:$AK$25)=12,MIN(ABS(BY23-BY24),ABS(BY24-BY25)),100)</f>
        <v>4999999.9899997711</v>
      </c>
      <c r="AB24" s="101" t="str">
        <f ca="1">IF(AND(AA24&gt;=0,AA24&lt;90),VLOOKUP(Q24,$BU$22:$BV$25,2,0),"")</f>
        <v/>
      </c>
      <c r="AC24" s="78"/>
      <c r="AD24" s="79"/>
      <c r="AE24" s="365"/>
      <c r="AF24" s="828">
        <f ca="1">VLOOKUP($R24,$AI$22:$AR$25,10,FALSE)</f>
        <v>4441210499.8900003</v>
      </c>
      <c r="AG24" s="827">
        <f ca="1">RANK(AU24,$AU$22:$AU$25)</f>
        <v>3</v>
      </c>
      <c r="AH24" s="827">
        <f ca="1">RANK(AR24,$AR$22:$AR$25)</f>
        <v>3</v>
      </c>
      <c r="AI24" s="829" t="str">
        <f ca="1">A23</f>
        <v>México</v>
      </c>
      <c r="AJ24" s="827">
        <f ca="1">AL24*3+AM24*1+AN24*0</f>
        <v>4</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1</v>
      </c>
      <c r="AN24" s="827">
        <f t="array" aca="1" ref="AN24" ca="1">SUM(($I$4:$I$65=AI24)*($L$4:$L$65&lt;&gt;"")*($K$4:$K$65&lt;&gt;"")*($K$4:$K$65&lt;$L$4:$L$65),($K$4:$K$65&lt;&gt;"")*($N$4:$N$65=AI24)*($L$4:$L$65&lt;&gt;"")*($K$4:$K$65&gt;$L$4:$L$65))</f>
        <v>1</v>
      </c>
      <c r="AO24" s="827">
        <f t="array" aca="1" ref="AO24" ca="1">SUMIFS($K$4:$K$65,$I$4:$I$65,AI24,$K$4:$K$65,"&lt;&gt;",$L$4:$L$65,"&lt;&gt;")+SUMIFS($L$4:$L$65,$N$4:$N$65,AI24,$K$4:$K$65,"&lt;&gt;",$L$4:$L$65,"&lt;&gt;")</f>
        <v>2</v>
      </c>
      <c r="AP24" s="827">
        <f t="array" aca="1" ref="AP24" ca="1">SUMIFS($K$4:$K$65,$N$4:$N$65,AI24,$K$4:$K$65,"&lt;&gt;",$L$4:$L$65,"&lt;&gt;")+SUMIFS($L$4:$L$65,$I$4:$I$65,AI24,$K$4:$K$65,"&lt;&gt;",$L$4:$L$65,"&lt;&gt;")</f>
        <v>3</v>
      </c>
      <c r="AQ24" s="827">
        <f ca="1">AO24-AP24</f>
        <v>-1</v>
      </c>
      <c r="AR24" s="827">
        <f ca="1">IF(AK24=0,-($AW$11*VLOOKUP(AI24,Tabla3[[NombreEquipo]:[Rank]],3,FALSE)),AJ24*$AW$4+AQ24*$AW$5+AO24*$AW$6+BA24-($AW$11*VLOOKUP(AI24,Tabla3[[NombreEquipo]:[Rank]],3,FALSE)/100))</f>
        <v>4441210499.8900003</v>
      </c>
      <c r="AS24" s="827">
        <f ca="1">AH24</f>
        <v>3</v>
      </c>
      <c r="AT24" s="827"/>
      <c r="AU24" s="827">
        <f ca="1">IFERROR(AR24-VLOOKUP(AI24,$AB$22:$AC$25,2,0),AR24)</f>
        <v>4441210499.8900003</v>
      </c>
      <c r="AV24" s="827"/>
      <c r="AW24" s="830"/>
      <c r="AX24" s="827"/>
      <c r="AY24" s="834" t="str">
        <f ca="1">AI24</f>
        <v>México</v>
      </c>
      <c r="AZ24" s="827">
        <f ca="1">COUNTIF(AJ22:AJ25,AJ24)</f>
        <v>2</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0</v>
      </c>
      <c r="BE24" s="835">
        <f t="array" aca="1" ref="BE24" ca="1">SUMIFS($K$20:$K$25,$I$20:$I$25,$AY24,$K$20:$K$25,"&lt;&gt;",$L$20:$L$25,"&lt;&gt;",$N$20:$N$25,BE21)+SUMIFS($L$20:$L$25,$I$20:$I$25,BE21,$K$20:$K$25,"&lt;&gt;",$L$20:$L$25,"&lt;&gt;",$N$20:$N$25,$AY24)</f>
        <v>2</v>
      </c>
      <c r="BF24" s="835">
        <v>0</v>
      </c>
      <c r="BG24" s="835">
        <f t="array" aca="1" ref="BG24" ca="1">SUMIFS($K$20:$K$25,$I$20:$I$25,$AY24,$K$20:$K$25,"&lt;&gt;",$L$20:$L$25,"&lt;&gt;",$N$20:$N$25,BG21)+SUMIFS($L$20:$L$25,$I$20:$I$25,BG21,$K$20:$K$25,"&lt;&gt;",$L$20:$L$25,"&lt;&gt;",$N$20:$N$25,$AY24)</f>
        <v>0</v>
      </c>
      <c r="BH24" s="835">
        <f ca="1">RANK(BI24,BI22:BI25,1)</f>
        <v>1</v>
      </c>
      <c r="BI24" s="835">
        <f ca="1">SUM(IF(AND(AJ24=AJ25,AQ24=AQ25,AO24=AO25),BM24,0),IF(AND(AJ24=AJ22,AQ24=AQ22,AO24=AO22),BJ24,0),IF(AND(AJ24=AJ23,AQ24=AQ23,AO24=AO23),BK24,0))</f>
        <v>0</v>
      </c>
      <c r="BJ24" s="835">
        <f ca="1">BD24-BF22</f>
        <v>-2</v>
      </c>
      <c r="BK24" s="835">
        <f ca="1">BE24-BF23</f>
        <v>1</v>
      </c>
      <c r="BL24" s="835">
        <v>0</v>
      </c>
      <c r="BM24" s="835">
        <f ca="1">BG24-BF25</f>
        <v>0</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1</v>
      </c>
      <c r="BT24" s="829">
        <v>3</v>
      </c>
      <c r="BU24" s="829">
        <f ca="1">RANK(BW24,$BW$22:$BW$25)</f>
        <v>3</v>
      </c>
      <c r="BV24" s="829" t="str">
        <f ca="1">A23</f>
        <v>México</v>
      </c>
      <c r="BW24" s="829">
        <f t="shared" ca="1" si="8"/>
        <v>4441210499.8900003</v>
      </c>
      <c r="BX24" s="829" t="str">
        <f ca="1">VLOOKUP(Q24,$AH$22:$AI$25,2,0)</f>
        <v>México</v>
      </c>
      <c r="BY24" s="829">
        <f ca="1">VLOOKUP($BX24,$AI$22:$AR$25,10,FALSE)</f>
        <v>4441210499.8900003</v>
      </c>
      <c r="CA24" s="829">
        <v>3</v>
      </c>
      <c r="CB24" s="829" t="str">
        <f ca="1">VLOOKUP(CA24,$AH$22:$AI$25,2,0)</f>
        <v>México</v>
      </c>
      <c r="CC24" s="829">
        <f ca="1">VLOOKUP(CB24,$AI$22:$AR$25,2,FALSE)</f>
        <v>4</v>
      </c>
      <c r="CD24" s="836">
        <f ca="1">IF(SUM($AK$22:$AK$25)=12,MIN(ABS(BY23-BY24),ABS(BY24-BY25)),100)</f>
        <v>4999999.9899997711</v>
      </c>
      <c r="CE24" s="829">
        <f ca="1">VLOOKUP($CB24,$AI$22:$AR$25,9,FALSE)</f>
        <v>-1</v>
      </c>
      <c r="CF24" s="829">
        <f ca="1">VLOOKUP($CB24,$AI$22:$AR$25,7,FALSE)</f>
        <v>2</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0</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0</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75" thickBot="1">
      <c r="A25" s="810"/>
      <c r="B25" s="810"/>
      <c r="C25" s="810"/>
      <c r="D25" s="159"/>
      <c r="E25" s="927"/>
      <c r="F25" s="65">
        <f>Horarios!C25</f>
        <v>44895.916666666664</v>
      </c>
      <c r="G25" s="66">
        <f>Horarios!C25</f>
        <v>44895.916666666664</v>
      </c>
      <c r="H25" s="65" t="s">
        <v>74</v>
      </c>
      <c r="I25" s="67" t="str">
        <f ca="1">A22</f>
        <v>Arabia Saudita</v>
      </c>
      <c r="J25" s="68" t="str">
        <f ca="1">VLOOKUP(I25,Equipos!$H$2:$I$33,2,0)</f>
        <v>🇸🇦</v>
      </c>
      <c r="K25" s="69">
        <v>1</v>
      </c>
      <c r="L25" s="69">
        <v>2</v>
      </c>
      <c r="M25" s="374" t="str">
        <f ca="1">VLOOKUP(N25,Equipos!$H$2:$I$33,2,0)</f>
        <v>🇲🇽</v>
      </c>
      <c r="N25" s="70" t="str">
        <f ca="1">A23</f>
        <v>México</v>
      </c>
      <c r="O25" s="385">
        <f t="shared" si="11"/>
        <v>1</v>
      </c>
      <c r="P25" s="88"/>
      <c r="Q25" s="152">
        <v>4</v>
      </c>
      <c r="R25" s="153" t="str">
        <f ca="1">VLOOKUP(Q25,$AG$22:$AI$25,3,0)</f>
        <v>Arabia Saudita</v>
      </c>
      <c r="S25" s="154">
        <f ca="1">VLOOKUP(R25,$AI$22:$AR$25,2,FALSE)</f>
        <v>3</v>
      </c>
      <c r="T25" s="154">
        <f ca="1">VLOOKUP($R25,$AI$22:$AR$25,3,FALSE)</f>
        <v>3</v>
      </c>
      <c r="U25" s="154">
        <f ca="1">VLOOKUP($R25,$AI$22:$AR$25,4,FALSE)</f>
        <v>1</v>
      </c>
      <c r="V25" s="154">
        <f ca="1">VLOOKUP($R25,$AI$22:$AR$25,5,FALSE)</f>
        <v>0</v>
      </c>
      <c r="W25" s="154">
        <f ca="1">VLOOKUP($R25,$AI$22:$AR$25,6,FALSE)</f>
        <v>2</v>
      </c>
      <c r="X25" s="154">
        <f ca="1">VLOOKUP($R25,$AI$22:$AR$25,7,FALSE)</f>
        <v>3</v>
      </c>
      <c r="Y25" s="154">
        <f ca="1">VLOOKUP($R25,$AI$22:$AR$25,8,FALSE)</f>
        <v>5</v>
      </c>
      <c r="Z25" s="155">
        <f ca="1">VLOOKUP($R25,$AI$22:$AR$25,9,FALSE)</f>
        <v>-2</v>
      </c>
      <c r="AA25" s="395">
        <f ca="1">IF(SUM($AK$22:$AK$25)=12,MIN(ABS(BY24-BY25),ABS(BY25-BY26)),100)</f>
        <v>1114999999.9900002</v>
      </c>
      <c r="AB25" s="101" t="str">
        <f ca="1">IF(AND(AA25&gt;=0,AA25&lt;90),VLOOKUP(Q25,$BU$22:$BV$25,2,0),"")</f>
        <v/>
      </c>
      <c r="AC25" s="78"/>
      <c r="AD25" s="79"/>
      <c r="AE25" s="365"/>
      <c r="AF25" s="828">
        <f ca="1">VLOOKUP($R25,$AI$22:$AR$25,10,FALSE)</f>
        <v>3326210499.9000001</v>
      </c>
      <c r="AG25" s="827">
        <f ca="1">RANK(AU25,$AU$22:$AU$25)</f>
        <v>2</v>
      </c>
      <c r="AH25" s="827">
        <f ca="1">RANK(AR25,$AR$22:$AR$25)</f>
        <v>2</v>
      </c>
      <c r="AI25" s="829" t="str">
        <f ca="1">A24</f>
        <v>Polonia</v>
      </c>
      <c r="AJ25" s="827">
        <f ca="1">AL25*3+AM25*1+AN25*0</f>
        <v>4</v>
      </c>
      <c r="AK25" s="827">
        <f ca="1">COUNTIFS($I$4:$I$65,AI25,$K$4:$K$65,"&lt;&gt;",$L$4:$L$65,"&lt;&gt;")+COUNTIFS($N$4:$N$65,AI25,$L$4:$L$65,"&lt;&gt;",$K$4:$K$65,"&lt;&gt;")</f>
        <v>3</v>
      </c>
      <c r="AL25" s="827">
        <f t="array" aca="1" ref="AL25" ca="1">SUM(($I$4:$I$65=AI25)*($K$4:$K$65&lt;&gt;"")*($L$4:$L$65&lt;&gt;"")*($K$4:$K$65&gt;$L$4:$L$65),($N$4:$N$65=AI25)*($K$4:$K$65&lt;&gt;"")*($L$4:$L$65&lt;&gt;"")*($K$4:$K$65&lt;$L$4:$L$65))</f>
        <v>1</v>
      </c>
      <c r="AM25" s="827">
        <f t="array" aca="1" ref="AM25" ca="1">SUM(($I$4:$I$65=AI25)*($K$4:$K$65&lt;&gt;"")*($L$4:$L$65&lt;&gt;"")*($K$4:$K$65=$L$4:$L$65),($N$4:$N$65=AI25)*($K$4:$K$65&lt;&gt;"")*($L$4:$L$65&lt;&gt;"")*($K$4:$K$65=$L$4:$L$65))</f>
        <v>1</v>
      </c>
      <c r="AN25" s="827">
        <f t="array" aca="1" ref="AN25" ca="1">SUM(($I$4:$I$65=AI25)*($L$4:$L$65&lt;&gt;"")*($K$4:$K$65&lt;&gt;"")*($K$4:$K$65&lt;$L$4:$L$65),($K$4:$K$65&lt;&gt;"")*($N$4:$N$65=AI25)*($L$4:$L$65&lt;&gt;"")*($K$4:$K$65&gt;$L$4:$L$65))</f>
        <v>1</v>
      </c>
      <c r="AO25" s="827">
        <f t="array" aca="1" ref="AO25" ca="1">SUMIFS($K$4:$K$65,$I$4:$I$65,AI25,$K$4:$K$65,"&lt;&gt;",$L$4:$L$65,"&lt;&gt;")+SUMIFS($L$4:$L$65,$N$4:$N$65,AI25,$K$4:$K$65,"&lt;&gt;",$L$4:$L$65,"&lt;&gt;")</f>
        <v>2</v>
      </c>
      <c r="AP25" s="827">
        <f t="array" aca="1" ref="AP25" ca="1">SUMIFS($K$4:$K$65,$N$4:$N$65,AI25,$K$4:$K$65,"&lt;&gt;",$L$4:$L$65,"&lt;&gt;")+SUMIFS($L$4:$L$65,$I$4:$I$65,AI25,$K$4:$K$65,"&lt;&gt;",$L$4:$L$65,"&lt;&gt;")</f>
        <v>2</v>
      </c>
      <c r="AQ25" s="827">
        <f ca="1">AO25-AP25</f>
        <v>0</v>
      </c>
      <c r="AR25" s="827">
        <f ca="1">IF(AK25=0,-($AW$11*VLOOKUP(AI25,Tabla3[[NombreEquipo]:[Rank]],3,FALSE)),AJ25*$AW$4+AQ25*$AW$5+AO25*$AW$6+BA25-($AW$11*VLOOKUP(AI25,Tabla3[[NombreEquipo]:[Rank]],3,FALSE)/100))</f>
        <v>4446210499.8800001</v>
      </c>
      <c r="AS25" s="827">
        <f ca="1">AH25</f>
        <v>2</v>
      </c>
      <c r="AT25" s="827"/>
      <c r="AU25" s="827">
        <f ca="1">IFERROR(AR25-VLOOKUP(AI25,$AB$22:$AC$25,2,0),AR25)</f>
        <v>4446210499.8800001</v>
      </c>
      <c r="AV25" s="827"/>
      <c r="AW25" s="830"/>
      <c r="AX25" s="827"/>
      <c r="AY25" s="834" t="str">
        <f ca="1">AI25</f>
        <v>Polonia</v>
      </c>
      <c r="AZ25" s="827">
        <f ca="1">COUNTIF(AJ22:AJ25,AJ25)</f>
        <v>2</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0</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0</v>
      </c>
      <c r="BG25" s="835">
        <v>0</v>
      </c>
      <c r="BH25" s="835">
        <f ca="1">RANK(BI25,BI22:BI25,1)</f>
        <v>1</v>
      </c>
      <c r="BI25" s="835">
        <f ca="1">SUM(IF(AND(AJ25=AJ22,AQ25=AQ22,AO25=AO22),BJ25,0),IF(AND(AJ25=AJ23,AQ25=AQ23,AO25=AO23),BK25,0),IF(AND(AJ25=AJ24,AQ25=AQ24,AO25=AO24),BL25,0))</f>
        <v>0</v>
      </c>
      <c r="BJ25" s="835">
        <f ca="1">BD25-BG22</f>
        <v>-2</v>
      </c>
      <c r="BK25" s="835">
        <f ca="1">BE25-BG23</f>
        <v>2</v>
      </c>
      <c r="BL25" s="835">
        <f ca="1">BF25-BG24</f>
        <v>0</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1</v>
      </c>
      <c r="BS25" s="835">
        <v>0</v>
      </c>
      <c r="BT25" s="829">
        <v>4</v>
      </c>
      <c r="BU25" s="829">
        <f ca="1">RANK(BW25,$BW$22:$BW$25)</f>
        <v>2</v>
      </c>
      <c r="BV25" s="829" t="str">
        <f ca="1">A24</f>
        <v>Polonia</v>
      </c>
      <c r="BW25" s="829">
        <f t="shared" ca="1" si="8"/>
        <v>4446210499.8800001</v>
      </c>
      <c r="BX25" s="829" t="str">
        <f ca="1">VLOOKUP(Q25,$AH$22:$AI$25,2,0)</f>
        <v>Arabia Saudita</v>
      </c>
      <c r="BY25" s="829">
        <f ca="1">VLOOKUP($BX25,$AI$22:$AR$25,10,FALSE)</f>
        <v>3326210499.9000001</v>
      </c>
      <c r="CA25" s="829">
        <v>4</v>
      </c>
      <c r="CB25" s="829" t="str">
        <f ca="1">VLOOKUP(CA25,$AH$22:$AI$25,2,0)</f>
        <v>Arabia Saudita</v>
      </c>
      <c r="CC25" s="829">
        <f ca="1">VLOOKUP(CB25,$AI$22:$AR$25,2,FALSE)</f>
        <v>3</v>
      </c>
      <c r="CD25" s="836">
        <f ca="1">IF(SUM($AK$22:$AK$25)=12,MIN(ABS(BY24-BY25),ABS(BY25-BY26)),100)</f>
        <v>1114999999.9900002</v>
      </c>
      <c r="CE25" s="829">
        <f ca="1">VLOOKUP($CB25,$AI$22:$AR$25,9,FALSE)</f>
        <v>-2</v>
      </c>
      <c r="CF25" s="829">
        <f ca="1">VLOOKUP($CB25,$AI$22:$AR$25,7,FALSE)</f>
        <v>3</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7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928" t="s">
        <v>121</v>
      </c>
      <c r="F28" s="247">
        <f>Horarios!C28</f>
        <v>44887.666666666664</v>
      </c>
      <c r="G28" s="248">
        <f>Horarios!C28</f>
        <v>44887.666666666664</v>
      </c>
      <c r="H28" s="247" t="s">
        <v>72</v>
      </c>
      <c r="I28" s="249" t="str">
        <f ca="1">A30</f>
        <v>Dinamarca</v>
      </c>
      <c r="J28" s="250" t="str">
        <f ca="1">VLOOKUP(I28,Equipos!$H$2:$I$33,2,0)</f>
        <v>🇩🇰</v>
      </c>
      <c r="K28" s="251">
        <v>0</v>
      </c>
      <c r="L28" s="251">
        <v>0</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4" t="s">
        <v>67</v>
      </c>
      <c r="AC28" s="874"/>
      <c r="AD28" s="874"/>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1</v>
      </c>
      <c r="CR28" s="827">
        <f t="shared" ca="1" si="17"/>
        <v>0</v>
      </c>
      <c r="CS28" s="827">
        <f t="shared" ca="1" si="17"/>
        <v>2</v>
      </c>
      <c r="CT28" s="827">
        <f t="shared" ca="1" si="17"/>
        <v>0</v>
      </c>
      <c r="CU28" s="827">
        <f t="shared" ca="1" si="17"/>
        <v>0</v>
      </c>
      <c r="CV28" s="827">
        <f t="shared" ca="1" si="17"/>
        <v>0</v>
      </c>
      <c r="CW28" s="827">
        <f t="shared" ca="1" si="17"/>
        <v>0</v>
      </c>
      <c r="CX28" s="827">
        <f t="shared" ca="1" si="17"/>
        <v>0</v>
      </c>
      <c r="CY28" s="827">
        <f t="shared" ca="1" si="17"/>
        <v>1</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75" thickBot="1">
      <c r="A29" s="812" t="str">
        <f t="array" aca="1" ref="A29" ca="1">IF(ROWS(A$29:A29)&lt;=$C$28,INDEX(INDIRECT(A$28),SMALL(IF(Nivell=$B$28,ROW(Nivell)-ROW(Equipos!$C$2)+1),ROWS(B$28:B28))),"")</f>
        <v>Francia</v>
      </c>
      <c r="B29" s="813"/>
      <c r="C29" s="813"/>
      <c r="D29" s="159"/>
      <c r="E29" s="929"/>
      <c r="F29" s="242">
        <f>Horarios!C29</f>
        <v>44887.916666666664</v>
      </c>
      <c r="G29" s="243">
        <f>Horarios!C29</f>
        <v>44887.916666666664</v>
      </c>
      <c r="H29" s="242" t="s">
        <v>72</v>
      </c>
      <c r="I29" s="244" t="str">
        <f ca="1">A29</f>
        <v>Francia</v>
      </c>
      <c r="J29" s="245" t="str">
        <f ca="1">VLOOKUP(I29,Equipos!$H$2:$I$33,2,0)</f>
        <v>🇫🇷</v>
      </c>
      <c r="K29" s="246">
        <v>4</v>
      </c>
      <c r="L29" s="246">
        <v>1</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874"/>
      <c r="AC29" s="874"/>
      <c r="AD29" s="874"/>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29"/>
      <c r="F30" s="242">
        <f>Horarios!C30</f>
        <v>44891.541666666664</v>
      </c>
      <c r="G30" s="243">
        <f>Horarios!C30</f>
        <v>44891.541666666664</v>
      </c>
      <c r="H30" s="242" t="s">
        <v>73</v>
      </c>
      <c r="I30" s="244" t="str">
        <f ca="1">A31</f>
        <v>Túnez</v>
      </c>
      <c r="J30" s="245" t="str">
        <f ca="1">VLOOKUP(I30,Equipos!$H$2:$I$33,2,0)</f>
        <v>🇹🇳</v>
      </c>
      <c r="K30" s="246">
        <v>0</v>
      </c>
      <c r="L30" s="246">
        <v>1</v>
      </c>
      <c r="M30" s="376" t="str">
        <f ca="1">VLOOKUP(N30,Equipos!$H$2:$I$33,2,0)</f>
        <v>🇦🇺</v>
      </c>
      <c r="N30" s="253" t="str">
        <f ca="1">A32</f>
        <v>Australia</v>
      </c>
      <c r="O30" s="385">
        <f t="shared" si="18"/>
        <v>1</v>
      </c>
      <c r="P30" s="88"/>
      <c r="Q30" s="300">
        <v>1</v>
      </c>
      <c r="R30" s="301" t="str">
        <f ca="1">VLOOKUP(Q30,$AG$30:$AI$33,3,0)</f>
        <v>Francia</v>
      </c>
      <c r="S30" s="302">
        <f ca="1">VLOOKUP(R30,$AI$30:$AR$33,2,FALSE)</f>
        <v>6</v>
      </c>
      <c r="T30" s="302">
        <f ca="1">VLOOKUP($R30,$AI$30:$AR$33,3,FALSE)</f>
        <v>3</v>
      </c>
      <c r="U30" s="302">
        <f ca="1">VLOOKUP($R30,$AI$30:$AR$33,4,FALSE)</f>
        <v>2</v>
      </c>
      <c r="V30" s="302">
        <f ca="1">VLOOKUP($R30,$AI$30:$AR$33,5,FALSE)</f>
        <v>0</v>
      </c>
      <c r="W30" s="302">
        <f ca="1">VLOOKUP($R30,$AI$30:$AR$33,6,FALSE)</f>
        <v>1</v>
      </c>
      <c r="X30" s="302">
        <f ca="1">VLOOKUP($R30,$AI$30:$AR$33,7,FALSE)</f>
        <v>6</v>
      </c>
      <c r="Y30" s="302">
        <f ca="1">VLOOKUP($R30,$AI$30:$AR$33,8,FALSE)</f>
        <v>3</v>
      </c>
      <c r="Z30" s="303">
        <f ca="1">VLOOKUP($R30,$AI$30:$AR$33,9,FALSE)</f>
        <v>3</v>
      </c>
      <c r="AA30" s="395">
        <f ca="1">IF(SUM($AK$30:$AK$33)=12,MIN(ABS(BY29-BY30),ABS(BY30-BY31)),100)</f>
        <v>23000000.029999733</v>
      </c>
      <c r="AB30" s="101" t="str">
        <f ca="1">IF(AND(AA30&gt;=0,AA30&lt;90),VLOOKUP(Q30,$BU$30:$BV$33,2,0),"")</f>
        <v/>
      </c>
      <c r="AC30" s="78"/>
      <c r="AD30" s="79"/>
      <c r="AE30" s="365"/>
      <c r="AF30" s="828">
        <f ca="1">VLOOKUP($R30,$AI$30:$AR$33,10,FALSE)</f>
        <v>6687210499.8699999</v>
      </c>
      <c r="AG30" s="827">
        <f ca="1">RANK(AU30,$AU$30:$AU$33)</f>
        <v>1</v>
      </c>
      <c r="AH30" s="827">
        <f ca="1">RANK(AR30,$AR$30:$AR$33)</f>
        <v>1</v>
      </c>
      <c r="AI30" s="829" t="str">
        <f ca="1">A29</f>
        <v>Francia</v>
      </c>
      <c r="AJ30" s="827">
        <f ca="1">AL30*3+AM30*1+AN30*0</f>
        <v>6</v>
      </c>
      <c r="AK30" s="827">
        <f ca="1">COUNTIFS($I$4:$I$65,AI30,$K$4:$K$65,"&lt;&gt;",$L$4:$L$65,"&lt;&gt;")+COUNTIFS($N$4:$N$65,AI30,$L$4:$L$65,"&lt;&gt;",$K$4:$K$65,"&lt;&gt;")</f>
        <v>3</v>
      </c>
      <c r="AL30" s="827">
        <f t="array" aca="1" ref="AL30" ca="1">SUM(($I$4:$I$65=AI30)*($K$4:$K$65&lt;&gt;"")*($L$4:$L$65&lt;&gt;"")*($K$4:$K$65&gt;$L$4:$L$65),($N$4:$N$65=AI30)*($K$4:$K$65&lt;&gt;"")*($L$4:$L$65&lt;&gt;"")*($K$4:$K$65&lt;$L$4:$L$65))</f>
        <v>2</v>
      </c>
      <c r="AM30" s="827">
        <f t="array" aca="1" ref="AM30" ca="1">SUM(($I$4:$I$65=AI30)*($K$4:$K$65&lt;&gt;"")*($L$4:$L$65&lt;&gt;"")*($K$4:$K$65=$L$4:$L$65),($N$4:$N$65=AI30)*($K$4:$K$65&lt;&gt;"")*($L$4:$L$65&lt;&gt;"")*($K$4:$K$65=$L$4:$L$65))</f>
        <v>0</v>
      </c>
      <c r="AN30" s="827">
        <f t="array" aca="1" ref="AN30" ca="1">SUM(($I$4:$I$65=AI30)*($L$4:$L$65&lt;&gt;"")*($K$4:$K$65&lt;&gt;"")*($K$4:$K$65&lt;$L$4:$L$65),($K$4:$K$65&lt;&gt;"")*($N$4:$N$65=AI30)*($L$4:$L$65&lt;&gt;"")*($K$4:$K$65&gt;$L$4:$L$65))</f>
        <v>1</v>
      </c>
      <c r="AO30" s="827">
        <f t="array" aca="1" ref="AO30" ca="1">SUMIFS($K$4:$K$65,$I$4:$I$65,AI30,$K$4:$K$65,"&lt;&gt;",$L$4:$L$65,"&lt;&gt;")+SUMIFS($L$4:$L$65,$N$4:$N$65,AI30,$K$4:$K$65,"&lt;&gt;",$L$4:$L$65,"&lt;&gt;")</f>
        <v>6</v>
      </c>
      <c r="AP30" s="827">
        <f t="array" aca="1" ref="AP30" ca="1">SUMIFS($K$4:$K$65,$N$4:$N$65,AI30,$K$4:$K$65,"&lt;&gt;",$L$4:$L$65,"&lt;&gt;")+SUMIFS($L$4:$L$65,$I$4:$I$65,AI30,$K$4:$K$65,"&lt;&gt;",$L$4:$L$65,"&lt;&gt;")</f>
        <v>3</v>
      </c>
      <c r="AQ30" s="827">
        <f ca="1">AO30-AP30</f>
        <v>3</v>
      </c>
      <c r="AR30" s="827">
        <f ca="1">IF(AK30=0,-($AW$11*VLOOKUP(AI30,Tabla3[[NombreEquipo]:[Rank]],3,FALSE)),AJ30*$AW$4+AQ30*$AW$5+AO30*$AW$6+BA30-($AW$11*VLOOKUP(AI30,Tabla3[[NombreEquipo]:[Rank]],3,FALSE)/100))</f>
        <v>6687210499.8699999</v>
      </c>
      <c r="AS30" s="827">
        <f ca="1">AH30</f>
        <v>1</v>
      </c>
      <c r="AT30" s="827"/>
      <c r="AU30" s="827">
        <f ca="1">IFERROR(AR30-VLOOKUP(AI30,$AB$30:$AC$33,2,0),AR30)</f>
        <v>6687210499.8699999</v>
      </c>
      <c r="AV30" s="827"/>
      <c r="AW30" s="830"/>
      <c r="AX30" s="827"/>
      <c r="AY30" s="834" t="str">
        <f ca="1">AI30</f>
        <v>Francia</v>
      </c>
      <c r="AZ30" s="827">
        <f ca="1">COUNTIF(AJ30:AJ33,AJ30)</f>
        <v>2</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0</v>
      </c>
      <c r="BG30" s="835">
        <f t="array" aca="1" ref="BG30" ca="1">SUMIFS($K$28:$K$33,$I$28:$I$33,$AY30,$K$28:$K$33,"&lt;&gt;",$L$28:$L$33,"&lt;&gt;",$N$28:$N$33,BG29)+SUMIFS($L$28:$L$33,$I$28:$I$33,BG29,$K$28:$K$33,"&lt;&gt;",$L$28:$L$33,"&lt;&gt;",$N$28:$N$33,$AY30)</f>
        <v>4</v>
      </c>
      <c r="BH30" s="835">
        <f ca="1">RANK(BI30,BI30:BI33,1)</f>
        <v>1</v>
      </c>
      <c r="BI30" s="835">
        <f ca="1">SUM(IF(AND(AJ30=AJ31,AQ30=AQ31,AO30=AO31),BK30,0),IF(AND(AJ30=AJ32,AQ30=AQ32,AO30=AO32),BL30,0),IF(AND(AJ30=AJ33,AQ30=AQ33,AO30=AO33),BM30,0))</f>
        <v>0</v>
      </c>
      <c r="BJ30" s="835">
        <v>0</v>
      </c>
      <c r="BK30" s="835">
        <f ca="1">BE30-BD31</f>
        <v>1</v>
      </c>
      <c r="BL30" s="835">
        <f ca="1">BF30-BD32</f>
        <v>-1</v>
      </c>
      <c r="BM30" s="835">
        <f ca="1">BG30-BD33</f>
        <v>3</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0</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6687210499.8699999</v>
      </c>
      <c r="BX30" s="829" t="str">
        <f ca="1">VLOOKUP(Q30,$AH$30:$AI$33,2,0)</f>
        <v>Francia</v>
      </c>
      <c r="BY30" s="829">
        <f ca="1">VLOOKUP($BX30,$AI$30:$AR$33,10,FALSE)</f>
        <v>6687210499.8699999</v>
      </c>
      <c r="CA30" s="829">
        <v>1</v>
      </c>
      <c r="CB30" s="829" t="str">
        <f ca="1">VLOOKUP(CA30,$AH$30:$AI$33,2,0)</f>
        <v>Francia</v>
      </c>
      <c r="CC30" s="829">
        <f ca="1">VLOOKUP(CB30,$AI$30:$AR$33,2,FALSE)</f>
        <v>6</v>
      </c>
      <c r="CD30" s="836">
        <f ca="1">IF(SUM($AK$30:$AK$33)=12,MIN(ABS(BY29-BY30),ABS(BY30-BY31)),100)</f>
        <v>23000000.029999733</v>
      </c>
      <c r="CE30" s="829">
        <f ca="1">VLOOKUP($CB30,$AI$30:$AR$33,9,FALSE)</f>
        <v>3</v>
      </c>
      <c r="CF30" s="829">
        <f ca="1">VLOOKUP($CB30,$AI$30:$AR$33,7,FALSE)</f>
        <v>6</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0</v>
      </c>
      <c r="CR30" s="827">
        <f t="array" aca="1" ref="CR30" ca="1">IF(AND($CC$30&lt;&gt;$CC$31,$CC$30&lt;&gt;$CC$33),1,0)</f>
        <v>0</v>
      </c>
      <c r="CS30" s="827">
        <f t="array" aca="1" ref="CS30" ca="1">IF(AND($CC$30&lt;&gt;$CC$31,$CC$30&lt;&gt;$CC$33),1,0)</f>
        <v>0</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0</v>
      </c>
      <c r="CX30" s="827">
        <f t="array" aca="1" ref="CX30" ca="1">IF(AND($CC$30&lt;&gt;$CC$31,$CC$30&lt;&gt;$CC$32),1,0)</f>
        <v>0</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29"/>
      <c r="F31" s="242">
        <f>Horarios!C31</f>
        <v>44891.791666666664</v>
      </c>
      <c r="G31" s="243">
        <f>Horarios!C31</f>
        <v>44891.791666666664</v>
      </c>
      <c r="H31" s="242" t="s">
        <v>73</v>
      </c>
      <c r="I31" s="244" t="str">
        <f ca="1">A29</f>
        <v>Francia</v>
      </c>
      <c r="J31" s="245" t="str">
        <f ca="1">VLOOKUP(I31,Equipos!$H$2:$I$33,2,0)</f>
        <v>🇫🇷</v>
      </c>
      <c r="K31" s="246">
        <v>2</v>
      </c>
      <c r="L31" s="246">
        <v>1</v>
      </c>
      <c r="M31" s="376" t="str">
        <f ca="1">VLOOKUP(N31,Equipos!$H$2:$I$33,2,0)</f>
        <v>🇩🇰</v>
      </c>
      <c r="N31" s="253" t="str">
        <f ca="1">A30</f>
        <v>Dinamarca</v>
      </c>
      <c r="O31" s="385">
        <f t="shared" si="18"/>
        <v>1</v>
      </c>
      <c r="P31" s="88"/>
      <c r="Q31" s="281">
        <v>2</v>
      </c>
      <c r="R31" s="4" t="str">
        <f ca="1">VLOOKUP(Q31,$AG$30:$AI$33,3,0)</f>
        <v>Australia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3</v>
      </c>
      <c r="Y31" s="3">
        <f ca="1">VLOOKUP($R31,$AI$30:$AR$33,8,FALSE)</f>
        <v>4</v>
      </c>
      <c r="Z31" s="282">
        <f ca="1">VLOOKUP($R31,$AI$30:$AR$33,9,FALSE)</f>
        <v>-1</v>
      </c>
      <c r="AA31" s="395">
        <f ca="1">IF(SUM($AK$30:$AK$33)=12,MIN(ABS(BY30-BY31),ABS(BY31-BY32)),100)</f>
        <v>23000000.029999733</v>
      </c>
      <c r="AB31" s="101" t="str">
        <f ca="1">IF(AND(AA31&gt;=0,AA31&lt;90),VLOOKUP(Q31,$BU$30:$BV$33,2,0),"")</f>
        <v/>
      </c>
      <c r="AC31" s="78"/>
      <c r="AD31" s="79"/>
      <c r="AE31" s="365"/>
      <c r="AF31" s="828">
        <f ca="1">VLOOKUP($R31,$AI$30:$AR$33,10,FALSE)</f>
        <v>6664210499.8400002</v>
      </c>
      <c r="AG31" s="827">
        <f ca="1">RANK(AU31,$AU$30:$AU$33)</f>
        <v>4</v>
      </c>
      <c r="AH31" s="827">
        <f ca="1">RANK(AR31,$AR$30:$AR$33)</f>
        <v>4</v>
      </c>
      <c r="AI31" s="829" t="str">
        <f ca="1">A30</f>
        <v>Dinamarca</v>
      </c>
      <c r="AJ31" s="827">
        <f ca="1">AL31*3+AM31*1+AN31*0</f>
        <v>1</v>
      </c>
      <c r="AK31" s="827">
        <f ca="1">COUNTIFS($I$4:$I$65,AI31,$K$4:$K$65,"&lt;&gt;",$L$4:$L$65,"&lt;&gt;")+COUNTIFS($N$4:$N$65,AI31,$L$4:$L$65,"&lt;&gt;",$K$4:$K$65,"&lt;&gt;")</f>
        <v>3</v>
      </c>
      <c r="AL31" s="827">
        <f t="array" aca="1" ref="AL31" ca="1">SUM(($I$4:$I$65=AI31)*($K$4:$K$65&lt;&gt;"")*($L$4:$L$65&lt;&gt;"")*($K$4:$K$65&gt;$L$4:$L$65),($N$4:$N$65=AI31)*($K$4:$K$65&lt;&gt;"")*($L$4:$L$65&lt;&gt;"")*($K$4:$K$65&lt;$L$4:$L$65))</f>
        <v>0</v>
      </c>
      <c r="AM31" s="827">
        <f t="array" aca="1" ref="AM31" ca="1">SUM(($I$4:$I$65=AI31)*($K$4:$K$65&lt;&gt;"")*($L$4:$L$65&lt;&gt;"")*($K$4:$K$65=$L$4:$L$65),($N$4:$N$65=AI31)*($K$4:$K$65&lt;&gt;"")*($L$4:$L$65&lt;&gt;"")*($K$4:$K$65=$L$4:$L$65))</f>
        <v>1</v>
      </c>
      <c r="AN31" s="827">
        <f t="array" aca="1" ref="AN31" ca="1">SUM(($I$4:$I$65=AI31)*($L$4:$L$65&lt;&gt;"")*($K$4:$K$65&lt;&gt;"")*($K$4:$K$65&lt;$L$4:$L$65),($K$4:$K$65&lt;&gt;"")*($N$4:$N$65=AI31)*($L$4:$L$65&lt;&gt;"")*($K$4:$K$65&gt;$L$4:$L$65))</f>
        <v>2</v>
      </c>
      <c r="AO31" s="827">
        <f t="array" aca="1" ref="AO31" ca="1">SUMIFS($K$4:$K$65,$I$4:$I$65,AI31,$K$4:$K$65,"&lt;&gt;",$L$4:$L$65,"&lt;&gt;")+SUMIFS($L$4:$L$65,$N$4:$N$65,AI31,$K$4:$K$65,"&lt;&gt;",$L$4:$L$65,"&lt;&gt;")</f>
        <v>1</v>
      </c>
      <c r="AP31" s="827">
        <f t="array" aca="1" ref="AP31" ca="1">SUMIFS($K$4:$K$65,$N$4:$N$65,AI31,$K$4:$K$65,"&lt;&gt;",$L$4:$L$65,"&lt;&gt;")+SUMIFS($L$4:$L$65,$I$4:$I$65,AI31,$K$4:$K$65,"&lt;&gt;",$L$4:$L$65,"&lt;&gt;")</f>
        <v>3</v>
      </c>
      <c r="AQ31" s="827">
        <f ca="1">AO31-AP31</f>
        <v>-2</v>
      </c>
      <c r="AR31" s="827">
        <f ca="1">IF(AK31=0,-($AW$11*VLOOKUP(AI31,Tabla3[[NombreEquipo]:[Rank]],3,FALSE)),AJ31*$AW$4+AQ31*$AW$5+AO31*$AW$6+BA31-($AW$11*VLOOKUP(AI31,Tabla3[[NombreEquipo]:[Rank]],3,FALSE)/100))</f>
        <v>1102210499.8599999</v>
      </c>
      <c r="AS31" s="827">
        <f ca="1">AH31</f>
        <v>4</v>
      </c>
      <c r="AT31" s="827"/>
      <c r="AU31" s="827">
        <f ca="1">IFERROR(AR31-VLOOKUP(AI31,$AB$30:$AC$33,2,0),AR31)</f>
        <v>1102210499.8599999</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0</v>
      </c>
      <c r="BG31" s="835">
        <f t="array" aca="1" ref="BG31" ca="1">SUMIFS($K$28:$K$33,$I$28:$I$33,$AY31,$K$28:$K$33,"&lt;&gt;",$L$28:$L$33,"&lt;&gt;",$N$28:$N$33,BG29)+SUMIFS($L$28:$L$33,$I$28:$I$33,BG29,$K$28:$K$33,"&lt;&gt;",$L$28:$L$33,"&lt;&gt;",$N$28:$N$33,$AY31)</f>
        <v>0</v>
      </c>
      <c r="BH31" s="835">
        <f ca="1">RANK(BI31,BI30:BI33,1)</f>
        <v>1</v>
      </c>
      <c r="BI31" s="835">
        <f ca="1">SUM(IF(AND(AJ31=AJ32,AQ31=AQ32,AO31=AO32),BL31,0),IF(AND(AJ31=AJ33,AQ31=AQ33,AO31=AO33),BM31,0),IF(AND(AJ31=AJ30,AQ31=AQ30,AO31=AO30),BJ31,0))</f>
        <v>0</v>
      </c>
      <c r="BJ31" s="835">
        <f ca="1">BD31-BE30</f>
        <v>-1</v>
      </c>
      <c r="BK31" s="835">
        <v>0</v>
      </c>
      <c r="BL31" s="835">
        <f ca="1">BF31-BE32</f>
        <v>0</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1</v>
      </c>
      <c r="BS31" s="835">
        <f t="array" aca="1" ref="BS31" ca="1">SUM((I$4:I$49=AY31)*(N$4:N$49=BS29)*(K$4:K$49&lt;&gt;"")*(L$4:L$49&lt;&gt;"")*(K$4:K$49&gt;L$4:L$49)*3,(N$4:N$49=AY31)*(I$4:I$49=BS29)*(K$4:K$49&lt;&gt;"")*(L$4:L$49&lt;&gt;"")*(K$4:K$49=L$4:L$49)*1,(N$4:N$49=AY31)*(I$4:I$49=BS29)*(K$4:K$49&lt;&gt;"")*(L$4:L$49&lt;&gt;"")*(K$4:K$49&lt;L$4:L$49)*3,(I$4:I$49=AY31)*(N$4:N$49=BS29)*(K$4:K$49&lt;&gt;"")*(L$4:L$49&lt;&gt;"")*(K$4:K$49=L$4:L$49)*1)</f>
        <v>0</v>
      </c>
      <c r="BT31" s="829">
        <v>2</v>
      </c>
      <c r="BU31" s="829">
        <f ca="1">RANK(BW31,$BW$30:$BW$33)</f>
        <v>4</v>
      </c>
      <c r="BV31" s="829" t="str">
        <f ca="1">A30</f>
        <v>Dinamarca</v>
      </c>
      <c r="BW31" s="829">
        <f t="shared" ca="1" si="8"/>
        <v>1102210499.8599999</v>
      </c>
      <c r="BX31" s="829" t="str">
        <f ca="1">VLOOKUP(Q31,$AH$30:$AI$33,2,0)</f>
        <v>Australia</v>
      </c>
      <c r="BY31" s="829">
        <f ca="1">VLOOKUP($BX31,$AI$30:$AR$33,10,FALSE)</f>
        <v>6664210499.8400002</v>
      </c>
      <c r="CA31" s="829">
        <v>2</v>
      </c>
      <c r="CB31" s="829" t="str">
        <f ca="1">VLOOKUP(CA31,$AH$30:$AI$33,2,0)</f>
        <v>Australia</v>
      </c>
      <c r="CC31" s="829">
        <f ca="1">VLOOKUP(CB31,$AI$30:$AR$33,2,FALSE)</f>
        <v>6</v>
      </c>
      <c r="CD31" s="836">
        <f ca="1">IF(SUM($AK$30:$AK$33)=12,MIN(ABS(BY30-BY31),ABS(BY31-BY32)),100)</f>
        <v>23000000.029999733</v>
      </c>
      <c r="CE31" s="829">
        <f ca="1">VLOOKUP($CB31,$AI$30:$AR$33,9,FALSE)</f>
        <v>-1</v>
      </c>
      <c r="CF31" s="829">
        <f ca="1">VLOOKUP($CB31,$AI$30:$AR$33,7,FALSE)</f>
        <v>3</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0</v>
      </c>
      <c r="CS31" s="827">
        <f t="array" aca="1" ref="CS31" ca="1">IF(AND($CC$31&lt;&gt;$CC$30,$CC$31&lt;&gt;$CC$32),1,0)</f>
        <v>0</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29"/>
      <c r="F32" s="242">
        <f>Horarios!C32</f>
        <v>44895.75</v>
      </c>
      <c r="G32" s="243">
        <f>Horarios!C32</f>
        <v>44895.75</v>
      </c>
      <c r="H32" s="242" t="s">
        <v>74</v>
      </c>
      <c r="I32" s="244" t="str">
        <f ca="1">A32</f>
        <v>Australia</v>
      </c>
      <c r="J32" s="245" t="str">
        <f ca="1">VLOOKUP(I32,Equipos!$H$2:$I$33,2,0)</f>
        <v>🇦🇺</v>
      </c>
      <c r="K32" s="246">
        <v>1</v>
      </c>
      <c r="L32" s="246">
        <v>0</v>
      </c>
      <c r="M32" s="376" t="str">
        <f ca="1">VLOOKUP(N32,Equipos!$H$2:$I$33,2,0)</f>
        <v>🇩🇰</v>
      </c>
      <c r="N32" s="253" t="str">
        <f ca="1">A30</f>
        <v>Dinamarca</v>
      </c>
      <c r="O32" s="385">
        <f t="shared" si="18"/>
        <v>1</v>
      </c>
      <c r="P32" s="88"/>
      <c r="Q32" s="281">
        <v>3</v>
      </c>
      <c r="R32" s="4" t="str">
        <f ca="1">VLOOKUP(Q32,$AG$30:$AI$33,3,0)</f>
        <v>Túnez</v>
      </c>
      <c r="S32" s="3">
        <f ca="1">VLOOKUP(R32,$AI$30:$AR$33,2,FALSE)</f>
        <v>4</v>
      </c>
      <c r="T32" s="3">
        <f ca="1">VLOOKUP($R32,$AI$30:$AR$33,3,FALSE)</f>
        <v>3</v>
      </c>
      <c r="U32" s="3">
        <f ca="1">VLOOKUP($R32,$AI$30:$AR$33,4,FALSE)</f>
        <v>1</v>
      </c>
      <c r="V32" s="3">
        <f ca="1">VLOOKUP($R32,$AI$30:$AR$33,5,FALSE)</f>
        <v>1</v>
      </c>
      <c r="W32" s="3">
        <f ca="1">VLOOKUP($R32,$AI$30:$AR$33,6,FALSE)</f>
        <v>1</v>
      </c>
      <c r="X32" s="3">
        <f ca="1">VLOOKUP($R32,$AI$30:$AR$33,7,FALSE)</f>
        <v>1</v>
      </c>
      <c r="Y32" s="3">
        <f ca="1">VLOOKUP($R32,$AI$30:$AR$33,8,FALSE)</f>
        <v>1</v>
      </c>
      <c r="Z32" s="282">
        <f ca="1">VLOOKUP($R32,$AI$30:$AR$33,9,FALSE)</f>
        <v>0</v>
      </c>
      <c r="AA32" s="395">
        <f ca="1">IF(SUM($AK$30:$AK$33)=12,MIN(ABS(BY31-BY32),ABS(BY32-BY33)),100)</f>
        <v>2218999999.9899998</v>
      </c>
      <c r="AB32" s="101" t="str">
        <f ca="1">IF(AND(AA32&gt;=0,AA32&lt;90),VLOOKUP(Q32,$BU$30:$BV$33,2,0),"")</f>
        <v/>
      </c>
      <c r="AC32" s="78"/>
      <c r="AD32" s="79"/>
      <c r="AE32" s="365"/>
      <c r="AF32" s="828">
        <f ca="1">VLOOKUP($R32,$AI$30:$AR$33,10,FALSE)</f>
        <v>4445210499.8500004</v>
      </c>
      <c r="AG32" s="827">
        <f ca="1">RANK(AU32,$AU$30:$AU$33)</f>
        <v>3</v>
      </c>
      <c r="AH32" s="827">
        <f ca="1">RANK(AR32,$AR$30:$AR$33)</f>
        <v>3</v>
      </c>
      <c r="AI32" s="829" t="str">
        <f ca="1">A31</f>
        <v>Túnez</v>
      </c>
      <c r="AJ32" s="827">
        <f ca="1">AL32*3+AM32*1+AN32*0</f>
        <v>4</v>
      </c>
      <c r="AK32" s="827">
        <f ca="1">COUNTIFS($I$4:$I$65,AI32,$K$4:$K$65,"&lt;&gt;",$L$4:$L$65,"&lt;&gt;")+COUNTIFS($N$4:$N$65,AI32,$L$4:$L$65,"&lt;&gt;",$K$4:$K$65,"&lt;&gt;")</f>
        <v>3</v>
      </c>
      <c r="AL32" s="827">
        <f t="array" aca="1" ref="AL32" ca="1">SUM(($I$4:$I$65=AI32)*($K$4:$K$65&lt;&gt;"")*($L$4:$L$65&lt;&gt;"")*($K$4:$K$65&gt;$L$4:$L$65),($N$4:$N$65=AI32)*($K$4:$K$65&lt;&gt;"")*($L$4:$L$65&lt;&gt;"")*($K$4:$K$65&lt;$L$4:$L$65))</f>
        <v>1</v>
      </c>
      <c r="AM32" s="827">
        <f t="array" aca="1" ref="AM32" ca="1">SUM(($I$4:$I$65=AI32)*($K$4:$K$65&lt;&gt;"")*($L$4:$L$65&lt;&gt;"")*($K$4:$K$65=$L$4:$L$65),($N$4:$N$65=AI32)*($K$4:$K$65&lt;&gt;"")*($L$4:$L$65&lt;&gt;"")*($K$4:$K$65=$L$4:$L$65))</f>
        <v>1</v>
      </c>
      <c r="AN32" s="827">
        <f t="array" aca="1" ref="AN32" ca="1">SUM(($I$4:$I$65=AI32)*($L$4:$L$65&lt;&gt;"")*($K$4:$K$65&lt;&gt;"")*($K$4:$K$65&lt;$L$4:$L$65),($K$4:$K$65&lt;&gt;"")*($N$4:$N$65=AI32)*($L$4:$L$65&lt;&gt;"")*($K$4:$K$65&gt;$L$4:$L$65))</f>
        <v>1</v>
      </c>
      <c r="AO32" s="827">
        <f t="array" aca="1" ref="AO32" ca="1">SUMIFS($K$4:$K$65,$I$4:$I$65,AI32,$K$4:$K$65,"&lt;&gt;",$L$4:$L$65,"&lt;&gt;")+SUMIFS($L$4:$L$65,$N$4:$N$65,AI32,$K$4:$K$65,"&lt;&gt;",$L$4:$L$65,"&lt;&gt;")</f>
        <v>1</v>
      </c>
      <c r="AP32" s="827">
        <f t="array" aca="1" ref="AP32" ca="1">SUMIFS($K$4:$K$65,$N$4:$N$65,AI32,$K$4:$K$65,"&lt;&gt;",$L$4:$L$65,"&lt;&gt;")+SUMIFS($L$4:$L$65,$I$4:$I$65,AI32,$K$4:$K$65,"&lt;&gt;",$L$4:$L$65,"&lt;&gt;")</f>
        <v>1</v>
      </c>
      <c r="AQ32" s="827">
        <f ca="1">AO32-AP32</f>
        <v>0</v>
      </c>
      <c r="AR32" s="827">
        <f ca="1">IF(AK32=0,-($AW$11*VLOOKUP(AI32,Tabla3[[NombreEquipo]:[Rank]],3,FALSE)),AJ32*$AW$4+AQ32*$AW$5+AO32*$AW$6+BA32-($AW$11*VLOOKUP(AI32,Tabla3[[NombreEquipo]:[Rank]],3,FALSE)/100))</f>
        <v>4445210499.8500004</v>
      </c>
      <c r="AS32" s="827">
        <f ca="1">AH32</f>
        <v>3</v>
      </c>
      <c r="AT32" s="827"/>
      <c r="AU32" s="827">
        <f ca="1">IFERROR(AR32-VLOOKUP(AI32,$AB$30:$AC$33,2,0),AR32)</f>
        <v>4445210499.8500004</v>
      </c>
      <c r="AV32" s="827"/>
      <c r="AW32" s="830"/>
      <c r="AX32" s="827"/>
      <c r="AY32" s="834" t="str">
        <f ca="1">AI32</f>
        <v>Túnez</v>
      </c>
      <c r="AZ32" s="827">
        <f ca="1">COUNTIF(AJ30:AJ33,AJ32)</f>
        <v>1</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1</v>
      </c>
      <c r="BE32" s="835">
        <f t="array" aca="1" ref="BE32" ca="1">SUMIFS($K$28:$K$33,$I$28:$I$33,$AY32,$K$28:$K$33,"&lt;&gt;",$L$28:$L$33,"&lt;&gt;",$N$28:$N$33,BE29)+SUMIFS($L$28:$L$33,$I$28:$I$33,BE29,$K$28:$K$33,"&lt;&gt;",$L$28:$L$33,"&lt;&gt;",$N$28:$N$33,$AY32)</f>
        <v>0</v>
      </c>
      <c r="BF32" s="835">
        <v>0</v>
      </c>
      <c r="BG32" s="835">
        <f t="array" aca="1" ref="BG32" ca="1">SUMIFS($K$28:$K$33,$I$28:$I$33,$AY32,$K$28:$K$33,"&lt;&gt;",$L$28:$L$33,"&lt;&gt;",$N$28:$N$33,BG29)+SUMIFS($L$28:$L$33,$I$28:$I$33,BG29,$K$28:$K$33,"&lt;&gt;",$L$28:$L$33,"&lt;&gt;",$N$28:$N$33,$AY32)</f>
        <v>0</v>
      </c>
      <c r="BH32" s="835">
        <f ca="1">RANK(BI32,BI30:BI33,1)</f>
        <v>1</v>
      </c>
      <c r="BI32" s="835">
        <f ca="1">SUM(IF(AND(AJ32=AJ33,AQ32=AQ33,AO32=AO33),BM32,0),IF(AND(AJ32=AJ30,AQ32=AQ30,AO32=AO30),BJ32,0),IF(AND(AJ32=AJ31,AQ32=AQ31,AO32=AO31),BK32,0))</f>
        <v>0</v>
      </c>
      <c r="BJ32" s="835">
        <f ca="1">BD32-BF30</f>
        <v>1</v>
      </c>
      <c r="BK32" s="835">
        <f ca="1">BE32-BF31</f>
        <v>0</v>
      </c>
      <c r="BL32" s="835">
        <v>0</v>
      </c>
      <c r="BM32" s="835">
        <f ca="1">BG32-BF33</f>
        <v>-1</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3</v>
      </c>
      <c r="BQ32" s="835">
        <f t="array" aca="1" ref="BQ32" ca="1">SUM((I$4:I$49=AY32)*(N$4:N$49=BQ29)*(K$4:K$49&lt;&gt;"")*(L$4:L$49&lt;&gt;"")*(K$4:K$49&gt;L$4:L$49)*3,(N$4:N$49=AY32)*(I$4:I$49=BQ29)*(K$4:K$49&lt;&gt;"")*(L$4:L$49&lt;&gt;"")*(K$4:K$49=L$4:L$49)*1,(N$4:N$49=AY32)*(I$4:I$49=BQ29)*(K$4:K$49&lt;&gt;"")*(L$4:L$49&lt;&gt;"")*(K$4:K$49&lt;L$4:L$49)*3,(I$4:I$49=AY32)*(N$4:N$49=BQ29)*(K$4:K$49&lt;&gt;"")*(L$4:L$49&lt;&gt;"")*(K$4:K$49=L$4:L$49)*1)</f>
        <v>1</v>
      </c>
      <c r="BR32" s="835">
        <v>0</v>
      </c>
      <c r="BS32" s="835">
        <f t="array" aca="1" ref="BS32" ca="1">SUM((I$4:I$49=AY32)*(N$4:N$49=BS29)*(K$4:K$49&lt;&gt;"")*(L$4:L$49&lt;&gt;"")*(K$4:K$49&gt;L$4:L$49)*3,(N$4:N$49=AY32)*(I$4:I$49=BS29)*(K$4:K$49&lt;&gt;"")*(L$4:L$49&lt;&gt;"")*(K$4:K$49=L$4:L$49)*1,(N$4:N$49=AY32)*(I$4:I$49=BS29)*(K$4:K$49&lt;&gt;"")*(L$4:L$49&lt;&gt;"")*(K$4:K$49&lt;L$4:L$49)*3,(I$4:I$49=AY32)*(N$4:N$49=BS29)*(K$4:K$49&lt;&gt;"")*(L$4:L$49&lt;&gt;"")*(K$4:K$49=L$4:L$49)*1)</f>
        <v>0</v>
      </c>
      <c r="BT32" s="829">
        <v>3</v>
      </c>
      <c r="BU32" s="829">
        <f ca="1">RANK(BW32,$BW$30:$BW$33)</f>
        <v>3</v>
      </c>
      <c r="BV32" s="829" t="str">
        <f ca="1">A31</f>
        <v>Túnez</v>
      </c>
      <c r="BW32" s="829">
        <f t="shared" ca="1" si="8"/>
        <v>4445210499.8500004</v>
      </c>
      <c r="BX32" s="829" t="str">
        <f ca="1">VLOOKUP(Q32,$AH$30:$AI$33,2,0)</f>
        <v>Túnez</v>
      </c>
      <c r="BY32" s="829">
        <f ca="1">VLOOKUP($BX32,$AI$30:$AR$33,10,FALSE)</f>
        <v>4445210499.8500004</v>
      </c>
      <c r="CA32" s="829">
        <v>3</v>
      </c>
      <c r="CB32" s="829" t="str">
        <f ca="1">VLOOKUP(CA32,$AH$30:$AI$33,2,0)</f>
        <v>Túnez</v>
      </c>
      <c r="CC32" s="829">
        <f ca="1">VLOOKUP(CB32,$AI$30:$AR$33,2,FALSE)</f>
        <v>4</v>
      </c>
      <c r="CD32" s="836">
        <f ca="1">IF(SUM($AK$30:$AK$33)=12,MIN(ABS(BY31-BY32),ABS(BY32-BY33)),100)</f>
        <v>2218999999.9899998</v>
      </c>
      <c r="CE32" s="829">
        <f ca="1">VLOOKUP($CB32,$AI$30:$AR$33,9,FALSE)</f>
        <v>0</v>
      </c>
      <c r="CF32" s="829">
        <f ca="1">VLOOKUP($CB32,$AI$30:$AR$33,7,FALSE)</f>
        <v>1</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1</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75" thickBot="1">
      <c r="A33" s="810"/>
      <c r="B33" s="810"/>
      <c r="C33" s="810"/>
      <c r="D33" s="159"/>
      <c r="E33" s="930"/>
      <c r="F33" s="254">
        <f>Horarios!C33</f>
        <v>44895.75</v>
      </c>
      <c r="G33" s="255">
        <f>Horarios!C33</f>
        <v>44895.75</v>
      </c>
      <c r="H33" s="254" t="s">
        <v>74</v>
      </c>
      <c r="I33" s="256" t="str">
        <f ca="1">A31</f>
        <v>Túnez</v>
      </c>
      <c r="J33" s="257" t="str">
        <f ca="1">VLOOKUP(I33,Equipos!$H$2:$I$33,2,0)</f>
        <v>🇹🇳</v>
      </c>
      <c r="K33" s="258">
        <v>1</v>
      </c>
      <c r="L33" s="258">
        <v>0</v>
      </c>
      <c r="M33" s="377" t="str">
        <f ca="1">VLOOKUP(N33,Equipos!$H$2:$I$33,2,0)</f>
        <v>🇫🇷</v>
      </c>
      <c r="N33" s="259" t="str">
        <f ca="1">A29</f>
        <v>Francia</v>
      </c>
      <c r="O33" s="385">
        <f t="shared" si="18"/>
        <v>1</v>
      </c>
      <c r="P33" s="88"/>
      <c r="Q33" s="283">
        <v>4</v>
      </c>
      <c r="R33" s="284" t="str">
        <f ca="1">VLOOKUP(Q33,$AG$30:$AI$33,3,0)</f>
        <v>Dinamarca</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1</v>
      </c>
      <c r="Y33" s="285">
        <f ca="1">VLOOKUP($R33,$AI$30:$AR$33,8,FALSE)</f>
        <v>3</v>
      </c>
      <c r="Z33" s="286">
        <f ca="1">VLOOKUP($R33,$AI$30:$AR$33,9,FALSE)</f>
        <v>-2</v>
      </c>
      <c r="AA33" s="395">
        <f ca="1">IF(SUM($AK$30:$AK$33)=12,MIN(ABS(BY32-BY33),ABS(BY33-BY34)),100)</f>
        <v>1102210499.8599999</v>
      </c>
      <c r="AB33" s="101" t="str">
        <f ca="1">IF(AND(AA33&gt;=0,AA33&lt;90),VLOOKUP(Q33,$BU$30:$BV$33,2,0),"")</f>
        <v/>
      </c>
      <c r="AC33" s="78"/>
      <c r="AD33" s="79"/>
      <c r="AE33" s="365"/>
      <c r="AF33" s="828">
        <f ca="1">VLOOKUP($R33,$AI$30:$AR$33,10,FALSE)</f>
        <v>1102210499.8599999</v>
      </c>
      <c r="AG33" s="827">
        <f ca="1">RANK(AU33,$AU$30:$AU$33)</f>
        <v>2</v>
      </c>
      <c r="AH33" s="827">
        <f ca="1">RANK(AR33,$AR$30:$AR$33)</f>
        <v>2</v>
      </c>
      <c r="AI33" s="829" t="str">
        <f ca="1">A32</f>
        <v>Australia</v>
      </c>
      <c r="AJ33" s="827">
        <f ca="1">AL33*3+AM33*1+AN33*0</f>
        <v>6</v>
      </c>
      <c r="AK33" s="827">
        <f ca="1">COUNTIFS($I$4:$I$65,AI33,$K$4:$K$65,"&lt;&gt;",$L$4:$L$65,"&lt;&gt;")+COUNTIFS($N$4:$N$65,AI33,$L$4:$L$65,"&lt;&gt;",$K$4:$K$65,"&lt;&gt;")</f>
        <v>3</v>
      </c>
      <c r="AL33" s="827">
        <f t="array" aca="1" ref="AL33" ca="1">SUM(($I$4:$I$65=AI33)*($K$4:$K$65&lt;&gt;"")*($L$4:$L$65&lt;&gt;"")*($K$4:$K$65&gt;$L$4:$L$65),($N$4:$N$65=AI33)*($K$4:$K$65&lt;&gt;"")*($L$4:$L$65&lt;&gt;"")*($K$4:$K$65&lt;$L$4:$L$65))</f>
        <v>2</v>
      </c>
      <c r="AM33" s="827">
        <f t="array" aca="1" ref="AM33" ca="1">SUM(($I$4:$I$65=AI33)*($K$4:$K$65&lt;&gt;"")*($L$4:$L$65&lt;&gt;"")*($K$4:$K$65=$L$4:$L$65),($N$4:$N$65=AI33)*($K$4:$K$65&lt;&gt;"")*($L$4:$L$65&lt;&gt;"")*($K$4:$K$65=$L$4:$L$65))</f>
        <v>0</v>
      </c>
      <c r="AN33" s="827">
        <f t="array" aca="1" ref="AN33" ca="1">SUM(($I$4:$I$65=AI33)*($L$4:$L$65&lt;&gt;"")*($K$4:$K$65&lt;&gt;"")*($K$4:$K$65&lt;$L$4:$L$65),($K$4:$K$65&lt;&gt;"")*($N$4:$N$65=AI33)*($L$4:$L$65&lt;&gt;"")*($K$4:$K$65&gt;$L$4:$L$65))</f>
        <v>1</v>
      </c>
      <c r="AO33" s="827">
        <f t="array" aca="1" ref="AO33" ca="1">SUMIFS($K$4:$K$65,$I$4:$I$65,AI33,$K$4:$K$65,"&lt;&gt;",$L$4:$L$65,"&lt;&gt;")+SUMIFS($L$4:$L$65,$N$4:$N$65,AI33,$K$4:$K$65,"&lt;&gt;",$L$4:$L$65,"&lt;&gt;")</f>
        <v>3</v>
      </c>
      <c r="AP33" s="827">
        <f t="array" aca="1" ref="AP33" ca="1">SUMIFS($K$4:$K$65,$N$4:$N$65,AI33,$K$4:$K$65,"&lt;&gt;",$L$4:$L$65,"&lt;&gt;")+SUMIFS($L$4:$L$65,$I$4:$I$65,AI33,$K$4:$K$65,"&lt;&gt;",$L$4:$L$65,"&lt;&gt;")</f>
        <v>4</v>
      </c>
      <c r="AQ33" s="827">
        <f ca="1">AO33-AP33</f>
        <v>-1</v>
      </c>
      <c r="AR33" s="827">
        <f ca="1">IF(AK33=0,-($AW$11*VLOOKUP(AI33,Tabla3[[NombreEquipo]:[Rank]],3,FALSE)),AJ33*$AW$4+AQ33*$AW$5+AO33*$AW$6+BA33-($AW$11*VLOOKUP(AI33,Tabla3[[NombreEquipo]:[Rank]],3,FALSE)/100))</f>
        <v>6664210499.8400002</v>
      </c>
      <c r="AS33" s="827">
        <f ca="1">AH33</f>
        <v>2</v>
      </c>
      <c r="AT33" s="827"/>
      <c r="AU33" s="827">
        <f ca="1">IFERROR(AR33-VLOOKUP(AI33,$AB$30:$AC$33,2,0),AR33)</f>
        <v>6664210499.8400002</v>
      </c>
      <c r="AV33" s="827"/>
      <c r="AW33" s="830"/>
      <c r="AX33" s="827"/>
      <c r="AY33" s="834" t="str">
        <f ca="1">AI33</f>
        <v>Australia</v>
      </c>
      <c r="AZ33" s="827">
        <f ca="1">COUNTIF(AJ30:AJ33,AJ33)</f>
        <v>2</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1</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-3</v>
      </c>
      <c r="BK33" s="835">
        <f ca="1">BE33-BG31</f>
        <v>1</v>
      </c>
      <c r="BL33" s="835">
        <f ca="1">BF33-BG32</f>
        <v>1</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3</v>
      </c>
      <c r="BR33" s="835">
        <f t="array" aca="1" ref="BR33" ca="1">SUM((I$4:I$49=AY33)*(N$4:N$49=BR29)*(K$4:K$49&lt;&gt;"")*(L$4:L$49&lt;&gt;"")*(K$4:K$49&gt;L$4:L$49)*3,(N$4:N$49=AY33)*(I$4:I$49=BR29)*(K$4:K$49&lt;&gt;"")*(L$4:L$49&lt;&gt;"")*(K$4:K$49=L$4:L$49)*1,(N$4:N$49=AY33)*(I$4:I$49=BR29)*(K$4:K$49&lt;&gt;"")*(L$4:L$49&lt;&gt;"")*(K$4:K$49&lt;L$4:L$49)*3,(I$4:I$49=AY33)*(N$4:N$49=BR29)*(K$4:K$49&lt;&gt;"")*(L$4:L$49&lt;&gt;"")*(K$4:K$49=L$4:L$49)*1)</f>
        <v>3</v>
      </c>
      <c r="BS33" s="835">
        <v>0</v>
      </c>
      <c r="BT33" s="829">
        <v>4</v>
      </c>
      <c r="BU33" s="829">
        <f ca="1">RANK(BW33,$BW$30:$BW$33)</f>
        <v>2</v>
      </c>
      <c r="BV33" s="829" t="str">
        <f ca="1">A32</f>
        <v>Australia</v>
      </c>
      <c r="BW33" s="829">
        <f t="shared" ca="1" si="8"/>
        <v>6664210499.8400002</v>
      </c>
      <c r="BX33" s="829" t="str">
        <f ca="1">VLOOKUP(Q33,$AH$30:$AI$33,2,0)</f>
        <v>Dinamarca</v>
      </c>
      <c r="BY33" s="829">
        <f ca="1">VLOOKUP($BX33,$AI$30:$AR$33,10,FALSE)</f>
        <v>1102210499.8599999</v>
      </c>
      <c r="CA33" s="829">
        <v>4</v>
      </c>
      <c r="CB33" s="829" t="str">
        <f ca="1">VLOOKUP(CA33,$AH$30:$AI$33,2,0)</f>
        <v>Dinamarca</v>
      </c>
      <c r="CC33" s="829">
        <f ca="1">VLOOKUP(CB33,$AI$30:$AR$33,2,FALSE)</f>
        <v>1</v>
      </c>
      <c r="CD33" s="836">
        <f ca="1">IF(SUM($AK$30:$AK$33)=12,MIN(ABS(BY32-BY33),ABS(BY33-BY34)),100)</f>
        <v>1102210499.8599999</v>
      </c>
      <c r="CE33" s="829">
        <f ca="1">VLOOKUP($CB33,$AI$30:$AR$33,9,FALSE)</f>
        <v>-2</v>
      </c>
      <c r="CF33" s="829">
        <f ca="1">VLOOKUP($CB33,$AI$30:$AR$33,7,FALSE)</f>
        <v>1</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1</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7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931" t="s">
        <v>3</v>
      </c>
      <c r="F36" s="229">
        <f>Horarios!C36</f>
        <v>44888.666666666664</v>
      </c>
      <c r="G36" s="230">
        <f>Horarios!C36</f>
        <v>44888.666666666664</v>
      </c>
      <c r="H36" s="229" t="s">
        <v>72</v>
      </c>
      <c r="I36" s="231" t="str">
        <f ca="1">A39</f>
        <v>Alemania</v>
      </c>
      <c r="J36" s="232" t="str">
        <f ca="1">VLOOKUP(I36,Equipos!$H$2:$I$33,2,0)</f>
        <v>🇩🇪</v>
      </c>
      <c r="K36" s="233">
        <v>1</v>
      </c>
      <c r="L36" s="233">
        <v>2</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4" t="s">
        <v>67</v>
      </c>
      <c r="AC36" s="874"/>
      <c r="AD36" s="874"/>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1</v>
      </c>
      <c r="CP36" s="827">
        <f t="shared" ca="1" si="24"/>
        <v>0</v>
      </c>
      <c r="CQ36" s="827">
        <f t="shared" ca="1" si="24"/>
        <v>2</v>
      </c>
      <c r="CR36" s="827">
        <f t="shared" ca="1" si="24"/>
        <v>1</v>
      </c>
      <c r="CS36" s="827">
        <f t="shared" ca="1" si="24"/>
        <v>2</v>
      </c>
      <c r="CT36" s="827">
        <f t="shared" ca="1" si="24"/>
        <v>0</v>
      </c>
      <c r="CU36" s="827">
        <f t="shared" ca="1" si="24"/>
        <v>0</v>
      </c>
      <c r="CV36" s="827">
        <f t="shared" ca="1" si="24"/>
        <v>0</v>
      </c>
      <c r="CW36" s="827">
        <f t="shared" ca="1" si="24"/>
        <v>1</v>
      </c>
      <c r="CX36" s="827">
        <f t="shared" ca="1" si="24"/>
        <v>1</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75" thickBot="1">
      <c r="A37" s="812" t="str">
        <f t="array" aca="1" ref="A37" ca="1">IF(ROWS(A$37:A37)&lt;=$C$36,INDEX(INDIRECT(A$36),SMALL(IF(Nivell=$B$36,ROW(Nivell)-ROW(Equipos!$C$2)+1),ROWS(B$36:B36))),"")</f>
        <v>España</v>
      </c>
      <c r="B37" s="813"/>
      <c r="C37" s="813"/>
      <c r="D37" s="159"/>
      <c r="E37" s="932"/>
      <c r="F37" s="224">
        <f>Horarios!C37</f>
        <v>44888.791666666664</v>
      </c>
      <c r="G37" s="225">
        <f>Horarios!C37</f>
        <v>44888.791666666664</v>
      </c>
      <c r="H37" s="224" t="s">
        <v>72</v>
      </c>
      <c r="I37" s="226" t="str">
        <f ca="1">A37</f>
        <v>España</v>
      </c>
      <c r="J37" s="227" t="str">
        <f ca="1">VLOOKUP(I37,Equipos!$H$2:$I$33,2,0)</f>
        <v>🇪🇸</v>
      </c>
      <c r="K37" s="228">
        <v>7</v>
      </c>
      <c r="L37" s="228">
        <v>0</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874"/>
      <c r="AC37" s="874"/>
      <c r="AD37" s="874"/>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2"/>
      <c r="F38" s="224">
        <f>Horarios!C38</f>
        <v>44892.541666666664</v>
      </c>
      <c r="G38" s="225">
        <f>Horarios!C38</f>
        <v>44892.541666666664</v>
      </c>
      <c r="H38" s="224" t="s">
        <v>73</v>
      </c>
      <c r="I38" s="226" t="str">
        <f ca="1">A40</f>
        <v>Japón</v>
      </c>
      <c r="J38" s="227" t="str">
        <f ca="1">VLOOKUP(I38,Equipos!$H$2:$I$33,2,0)</f>
        <v>🇯🇵</v>
      </c>
      <c r="K38" s="228">
        <v>0</v>
      </c>
      <c r="L38" s="228">
        <v>1</v>
      </c>
      <c r="M38" s="379" t="str">
        <f ca="1">VLOOKUP(N38,Equipos!$H$2:$I$33,2,0)</f>
        <v>🇨🇷</v>
      </c>
      <c r="N38" s="235" t="str">
        <f ca="1">A38</f>
        <v>Costa Rica</v>
      </c>
      <c r="O38" s="385">
        <f t="shared" si="25"/>
        <v>1</v>
      </c>
      <c r="P38" s="88"/>
      <c r="Q38" s="308">
        <v>1</v>
      </c>
      <c r="R38" s="309" t="str">
        <f ca="1">VLOOKUP(Q38,$AG$38:$AI$41,3,0)</f>
        <v>Japón</v>
      </c>
      <c r="S38" s="310">
        <f ca="1">VLOOKUP(R38,$AI$38:$AR$41,2,FALSE)</f>
        <v>6</v>
      </c>
      <c r="T38" s="310">
        <f ca="1">VLOOKUP($R38,$AI$38:$AR$41,3,FALSE)</f>
        <v>3</v>
      </c>
      <c r="U38" s="310">
        <f ca="1">VLOOKUP($R38,$AI$38:$AR$41,4,FALSE)</f>
        <v>2</v>
      </c>
      <c r="V38" s="310">
        <f ca="1">VLOOKUP($R38,$AI$38:$AR$41,5,FALSE)</f>
        <v>0</v>
      </c>
      <c r="W38" s="310">
        <f ca="1">VLOOKUP($R38,$AI$38:$AR$41,6,FALSE)</f>
        <v>1</v>
      </c>
      <c r="X38" s="310">
        <f ca="1">VLOOKUP($R38,$AI$38:$AR$41,7,FALSE)</f>
        <v>4</v>
      </c>
      <c r="Y38" s="310">
        <f ca="1">VLOOKUP($R38,$AI$38:$AR$41,8,FALSE)</f>
        <v>3</v>
      </c>
      <c r="Z38" s="311">
        <f ca="1">VLOOKUP($R38,$AI$38:$AR$41,9,FALSE)</f>
        <v>1</v>
      </c>
      <c r="AA38" s="395">
        <f ca="1">IF(SUM($AK$38:$AK$41)=12,MIN(ABS(BY37-BY38),ABS(BY38-BY39)),100)</f>
        <v>2191999999.9700003</v>
      </c>
      <c r="AB38" s="101" t="str">
        <f ca="1">IF(AND(AA38&gt;=0,AA38&lt;90),VLOOKUP(Q38,$BU$38:$BV$41,2,0),"")</f>
        <v/>
      </c>
      <c r="AC38" s="78"/>
      <c r="AD38" s="79"/>
      <c r="AE38" s="365"/>
      <c r="AF38" s="828">
        <f ca="1">VLOOKUP($R38,$AI$38:$AR$41,10,FALSE)</f>
        <v>6675210499.8000002</v>
      </c>
      <c r="AG38" s="827">
        <f ca="1">RANK(AU38,$AU$38:$AU$41)</f>
        <v>2</v>
      </c>
      <c r="AH38" s="827">
        <f ca="1">RANK(AR38,$AR$38:$AR$41)</f>
        <v>2</v>
      </c>
      <c r="AI38" s="829" t="str">
        <f ca="1">A37</f>
        <v>España</v>
      </c>
      <c r="AJ38" s="827">
        <f ca="1">AL38*3+AM38*1+AN38*0</f>
        <v>4</v>
      </c>
      <c r="AK38" s="827">
        <f ca="1">COUNTIFS($I$4:$I$65,AI38,$K$4:$K$65,"&lt;&gt;",$L$4:$L$65,"&lt;&gt;")+COUNTIFS($N$4:$N$65,AI38,$L$4:$L$65,"&lt;&gt;",$K$4:$K$65,"&lt;&gt;")</f>
        <v>3</v>
      </c>
      <c r="AL38" s="827">
        <f t="array" aca="1" ref="AL38" ca="1">SUM(($I$4:$I$65=AI38)*($K$4:$K$65&lt;&gt;"")*($L$4:$L$65&lt;&gt;"")*($K$4:$K$65&gt;$L$4:$L$65),($N$4:$N$65=AI38)*($K$4:$K$65&lt;&gt;"")*($L$4:$L$65&lt;&gt;"")*($K$4:$K$65&lt;$L$4:$L$65))</f>
        <v>1</v>
      </c>
      <c r="AM38" s="827">
        <f t="array" aca="1" ref="AM38" ca="1">SUM(($I$4:$I$65=AI38)*($K$4:$K$65&lt;&gt;"")*($L$4:$L$65&lt;&gt;"")*($K$4:$K$65=$L$4:$L$65),($N$4:$N$65=AI38)*($K$4:$K$65&lt;&gt;"")*($L$4:$L$65&lt;&gt;"")*($K$4:$K$65=$L$4:$L$65))</f>
        <v>1</v>
      </c>
      <c r="AN38" s="827">
        <f t="array" aca="1" ref="AN38" ca="1">SUM(($I$4:$I$65=AI38)*($L$4:$L$65&lt;&gt;"")*($K$4:$K$65&lt;&gt;"")*($K$4:$K$65&lt;$L$4:$L$65),($K$4:$K$65&lt;&gt;"")*($N$4:$N$65=AI38)*($L$4:$L$65&lt;&gt;"")*($K$4:$K$65&gt;$L$4:$L$65))</f>
        <v>1</v>
      </c>
      <c r="AO38" s="827">
        <f t="array" aca="1" ref="AO38" ca="1">SUMIFS($K$4:$K$65,$I$4:$I$65,AI38,$K$4:$K$65,"&lt;&gt;",$L$4:$L$65,"&lt;&gt;")+SUMIFS($L$4:$L$65,$N$4:$N$65,AI38,$K$4:$K$65,"&lt;&gt;",$L$4:$L$65,"&lt;&gt;")</f>
        <v>9</v>
      </c>
      <c r="AP38" s="827">
        <f t="array" aca="1" ref="AP38" ca="1">SUMIFS($K$4:$K$65,$N$4:$N$65,AI38,$K$4:$K$65,"&lt;&gt;",$L$4:$L$65,"&lt;&gt;")+SUMIFS($L$4:$L$65,$I$4:$I$65,AI38,$K$4:$K$65,"&lt;&gt;",$L$4:$L$65,"&lt;&gt;")</f>
        <v>3</v>
      </c>
      <c r="AQ38" s="827">
        <f ca="1">AO38-AP38</f>
        <v>6</v>
      </c>
      <c r="AR38" s="827">
        <f ca="1">IF(AK38=0,-($AW$11*VLOOKUP(AI38,Tabla3[[NombreEquipo]:[Rank]],3,FALSE)),AJ38*$AW$4+AQ38*$AW$5+AO38*$AW$6+BA38-($AW$11*VLOOKUP(AI38,Tabla3[[NombreEquipo]:[Rank]],3,FALSE)/100))</f>
        <v>4483210499.8299999</v>
      </c>
      <c r="AS38" s="827">
        <f ca="1">AH38</f>
        <v>2</v>
      </c>
      <c r="AT38" s="827"/>
      <c r="AU38" s="827">
        <f ca="1">IFERROR(AR38-VLOOKUP(AI38,$AB$38:$AC$41,2,0),AR38)</f>
        <v>4483210499.8299999</v>
      </c>
      <c r="AV38" s="827"/>
      <c r="AW38" s="830"/>
      <c r="AX38" s="827"/>
      <c r="AY38" s="834" t="str">
        <f ca="1">AI38</f>
        <v>España</v>
      </c>
      <c r="AZ38" s="827">
        <f ca="1">COUNTIF(AJ38:AJ41,AJ38)</f>
        <v>2</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7</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1</v>
      </c>
      <c r="BH38" s="835">
        <f ca="1">RANK(BI38,BI38:BI41,1)</f>
        <v>1</v>
      </c>
      <c r="BI38" s="835">
        <f ca="1">SUM(IF(AND(AJ38=AJ39,AQ38=AQ39,AO38=AO39),BK38,0),IF(AND(AJ38=AJ40,AQ38=AQ40,AO38=AO40),BL38,0),IF(AND(AJ38=AJ41,AQ38=AQ41,AO38=AO41),BM38,0))</f>
        <v>0</v>
      </c>
      <c r="BJ38" s="835">
        <v>0</v>
      </c>
      <c r="BK38" s="835">
        <f ca="1">BE38-BD39</f>
        <v>7</v>
      </c>
      <c r="BL38" s="835">
        <f ca="1">BF38-BD40</f>
        <v>0</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1</v>
      </c>
      <c r="BS38" s="835">
        <f t="array" aca="1" ref="BS38" ca="1">SUM((I$4:I$49=AY38)*(N$4:N$49=BS37)*(K$4:K$49&lt;&gt;"")*(L$4:L$49&lt;&gt;"")*(K$4:K$49&gt;L$4:L$49)*3,(N$4:N$49=AY38)*(I$4:I$49=BS37)*(K$4:K$49&lt;&gt;"")*(L$4:L$49&lt;&gt;"")*(K$4:K$49=L$4:L$49)*1,(N$4:N$49=AY38)*(I$4:I$49=BS37)*(K$4:K$49&lt;&gt;"")*(L$4:L$49&lt;&gt;"")*(K$4:K$49&lt;L$4:L$49)*3,(I$4:I$49=AY38)*(N$4:N$49=BS37)*(K$4:K$49&lt;&gt;"")*(L$4:L$49&lt;&gt;"")*(K$4:K$49=L$4:L$49)*1)</f>
        <v>0</v>
      </c>
      <c r="BT38" s="829">
        <v>1</v>
      </c>
      <c r="BU38" s="829">
        <f ca="1">RANK(BW38,$BW$38:$BW$41)</f>
        <v>2</v>
      </c>
      <c r="BV38" s="829" t="str">
        <f ca="1">A37</f>
        <v>España</v>
      </c>
      <c r="BW38" s="829">
        <f t="shared" ref="BW38" ca="1" si="27">AR38</f>
        <v>4483210499.8299999</v>
      </c>
      <c r="BX38" s="829" t="str">
        <f ca="1">VLOOKUP(Q38,$AH$38:$AI$41,2,0)</f>
        <v>Japón</v>
      </c>
      <c r="BY38" s="829">
        <f ca="1">VLOOKUP($BX38,$AI$38:$AR$41,10,FALSE)</f>
        <v>6675210499.8000002</v>
      </c>
      <c r="CA38" s="829">
        <v>1</v>
      </c>
      <c r="CB38" s="829" t="str">
        <f ca="1">VLOOKUP(CA38,$AH$38:$AI$41,2,0)</f>
        <v>Japón</v>
      </c>
      <c r="CC38" s="829">
        <f ca="1">VLOOKUP(CB38,$AI$38:$AR$41,2,FALSE)</f>
        <v>6</v>
      </c>
      <c r="CD38" s="836">
        <f ca="1">IF(SUM($AK$38:$AK$41)=12,MIN(ABS(BY37-BY38),ABS(BY38-BY39)),100)</f>
        <v>2191999999.9700003</v>
      </c>
      <c r="CE38" s="829">
        <f ca="1">VLOOKUP($CB38,$AI$38:$AR$41,9,FALSE)</f>
        <v>1</v>
      </c>
      <c r="CF38" s="829">
        <f ca="1">VLOOKUP($CB38,$AI$38:$AR$41,7,FALSE)</f>
        <v>4</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2"/>
      <c r="F39" s="224">
        <f>Horarios!C39</f>
        <v>44892.916666666664</v>
      </c>
      <c r="G39" s="225">
        <f>Horarios!C39</f>
        <v>44892.916666666664</v>
      </c>
      <c r="H39" s="224" t="s">
        <v>73</v>
      </c>
      <c r="I39" s="226" t="str">
        <f ca="1">A37</f>
        <v>España</v>
      </c>
      <c r="J39" s="227" t="str">
        <f ca="1">VLOOKUP(I39,Equipos!$H$2:$I$33,2,0)</f>
        <v>🇪🇸</v>
      </c>
      <c r="K39" s="228">
        <v>1</v>
      </c>
      <c r="L39" s="228">
        <v>1</v>
      </c>
      <c r="M39" s="379" t="str">
        <f ca="1">VLOOKUP(N39,Equipos!$H$2:$I$33,2,0)</f>
        <v>🇩🇪</v>
      </c>
      <c r="N39" s="235" t="str">
        <f ca="1">A39</f>
        <v>Alemania</v>
      </c>
      <c r="O39" s="385">
        <f t="shared" si="25"/>
        <v>1</v>
      </c>
      <c r="P39" s="88"/>
      <c r="Q39" s="290">
        <v>2</v>
      </c>
      <c r="R39" s="4" t="str">
        <f ca="1">VLOOKUP(Q39,$AG$38:$AI$41,3,0)</f>
        <v>España</v>
      </c>
      <c r="S39" s="3">
        <f ca="1">VLOOKUP(R39,$AI$38:$AR$41,2,FALSE)</f>
        <v>4</v>
      </c>
      <c r="T39" s="3">
        <f ca="1">VLOOKUP($R39,$AI$38:$AR$41,3,FALSE)</f>
        <v>3</v>
      </c>
      <c r="U39" s="3">
        <f ca="1">VLOOKUP($R39,$AI$38:$AR$41,4,FALSE)</f>
        <v>1</v>
      </c>
      <c r="V39" s="3">
        <f ca="1">VLOOKUP($R39,$AI$38:$AR$41,5,FALSE)</f>
        <v>1</v>
      </c>
      <c r="W39" s="3">
        <f ca="1">VLOOKUP($R39,$AI$38:$AR$41,6,FALSE)</f>
        <v>1</v>
      </c>
      <c r="X39" s="3">
        <f ca="1">VLOOKUP($R39,$AI$38:$AR$41,7,FALSE)</f>
        <v>9</v>
      </c>
      <c r="Y39" s="3">
        <f ca="1">VLOOKUP($R39,$AI$38:$AR$41,8,FALSE)</f>
        <v>3</v>
      </c>
      <c r="Z39" s="291">
        <f ca="1">VLOOKUP($R39,$AI$38:$AR$41,9,FALSE)</f>
        <v>6</v>
      </c>
      <c r="AA39" s="395">
        <f ca="1">IF(SUM($AK$38:$AK$41)=12,MIN(ABS(BY38-BY39),ABS(BY39-BY40)),100)</f>
        <v>28000000.019999504</v>
      </c>
      <c r="AB39" s="101" t="str">
        <f ca="1">IF(AND(AA39&gt;=0,AA39&lt;90),VLOOKUP(Q39,$BU$38:$BV$41,2,0),"")</f>
        <v/>
      </c>
      <c r="AC39" s="78"/>
      <c r="AD39" s="79"/>
      <c r="AE39" s="365"/>
      <c r="AF39" s="828">
        <f ca="1">VLOOKUP($R39,$AI$38:$AR$41,10,FALSE)</f>
        <v>4483210499.8299999</v>
      </c>
      <c r="AG39" s="827">
        <f ca="1">RANK(AU39,$AU$38:$AU$41)</f>
        <v>4</v>
      </c>
      <c r="AH39" s="827">
        <f ca="1">RANK(AR39,$AR$38:$AR$41)</f>
        <v>4</v>
      </c>
      <c r="AI39" s="829" t="str">
        <f ca="1">A38</f>
        <v>Costa Rica</v>
      </c>
      <c r="AJ39" s="827">
        <f ca="1">AL39*3+AM39*1+AN39*0</f>
        <v>3</v>
      </c>
      <c r="AK39" s="827">
        <f ca="1">COUNTIFS($I$4:$I$65,AI39,$K$4:$K$65,"&lt;&gt;",$L$4:$L$65,"&lt;&gt;")+COUNTIFS($N$4:$N$65,AI39,$L$4:$L$65,"&lt;&gt;",$K$4:$K$65,"&lt;&gt;")</f>
        <v>3</v>
      </c>
      <c r="AL39" s="827">
        <f t="array" aca="1" ref="AL39" ca="1">SUM(($I$4:$I$65=AI39)*($K$4:$K$65&lt;&gt;"")*($L$4:$L$65&lt;&gt;"")*($K$4:$K$65&gt;$L$4:$L$65),($N$4:$N$65=AI39)*($K$4:$K$65&lt;&gt;"")*($L$4:$L$65&lt;&gt;"")*($K$4:$K$65&lt;$L$4:$L$65))</f>
        <v>1</v>
      </c>
      <c r="AM39" s="827">
        <f t="array" aca="1" ref="AM39" ca="1">SUM(($I$4:$I$65=AI39)*($K$4:$K$65&lt;&gt;"")*($L$4:$L$65&lt;&gt;"")*($K$4:$K$65=$L$4:$L$65),($N$4:$N$65=AI39)*($K$4:$K$65&lt;&gt;"")*($L$4:$L$65&lt;&gt;"")*($K$4:$K$65=$L$4:$L$65))</f>
        <v>0</v>
      </c>
      <c r="AN39" s="827">
        <f t="array" aca="1" ref="AN39" ca="1">SUM(($I$4:$I$65=AI39)*($L$4:$L$65&lt;&gt;"")*($K$4:$K$65&lt;&gt;"")*($K$4:$K$65&lt;$L$4:$L$65),($K$4:$K$65&lt;&gt;"")*($N$4:$N$65=AI39)*($L$4:$L$65&lt;&gt;"")*($K$4:$K$65&gt;$L$4:$L$65))</f>
        <v>2</v>
      </c>
      <c r="AO39" s="827">
        <f t="array" aca="1" ref="AO39" ca="1">SUMIFS($K$4:$K$65,$I$4:$I$65,AI39,$K$4:$K$65,"&lt;&gt;",$L$4:$L$65,"&lt;&gt;")+SUMIFS($L$4:$L$65,$N$4:$N$65,AI39,$K$4:$K$65,"&lt;&gt;",$L$4:$L$65,"&lt;&gt;")</f>
        <v>3</v>
      </c>
      <c r="AP39" s="827">
        <f t="array" aca="1" ref="AP39" ca="1">SUMIFS($K$4:$K$65,$N$4:$N$65,AI39,$K$4:$K$65,"&lt;&gt;",$L$4:$L$65,"&lt;&gt;")+SUMIFS($L$4:$L$65,$I$4:$I$65,AI39,$K$4:$K$65,"&lt;&gt;",$L$4:$L$65,"&lt;&gt;")</f>
        <v>11</v>
      </c>
      <c r="AQ39" s="827">
        <f ca="1">AO39-AP39</f>
        <v>-8</v>
      </c>
      <c r="AR39" s="827">
        <f ca="1">IF(AK39=0,-($AW$11*VLOOKUP(AI39,Tabla3[[NombreEquipo]:[Rank]],3,FALSE)),AJ39*$AW$4+AQ39*$AW$5+AO39*$AW$6+BA39-($AW$11*VLOOKUP(AI39,Tabla3[[NombreEquipo]:[Rank]],3,FALSE)/100))</f>
        <v>3296210499.8200002</v>
      </c>
      <c r="AS39" s="827">
        <f ca="1">AH39</f>
        <v>4</v>
      </c>
      <c r="AT39" s="827"/>
      <c r="AU39" s="827">
        <f ca="1">IFERROR(AR39-VLOOKUP(AI39,$AB$38:$AC$41,2,0),AR39)</f>
        <v>3296210499.8200002</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0</v>
      </c>
      <c r="BE39" s="835">
        <v>0</v>
      </c>
      <c r="BF39" s="835">
        <f t="array" aca="1" ref="BF39" ca="1">SUMIFS($K$36:$K$41,$I$36:$I$41,$AY39,$K$36:$K$41,"&lt;&gt;",$L$36:$L$41,"&lt;&gt;",$N$36:$N$41,BF37)+SUMIFS($L$36:$L$41,$I$36:$I$41,BF37,$K$36:$K$41,"&lt;&gt;",$L$36:$L$41,"&lt;&gt;",$N$36:$N$41,$AY39)</f>
        <v>2</v>
      </c>
      <c r="BG39" s="835">
        <f t="array" aca="1" ref="BG39" ca="1">SUMIFS($K$36:$K$41,$I$36:$I$41,$AY39,$K$36:$K$41,"&lt;&gt;",$L$36:$L$41,"&lt;&gt;",$N$36:$N$41,BG37)+SUMIFS($L$36:$L$41,$I$36:$I$41,BG37,$K$36:$K$41,"&lt;&gt;",$L$36:$L$41,"&lt;&gt;",$N$36:$N$41,$AY39)</f>
        <v>1</v>
      </c>
      <c r="BH39" s="835">
        <f ca="1">RANK(BI39,BI38:BI41,1)</f>
        <v>1</v>
      </c>
      <c r="BI39" s="835">
        <f ca="1">SUM(IF(AND(AJ39=AJ40,AQ39=AQ40,AO39=AO40),BL39,0),IF(AND(AJ39=AJ41,AQ39=AQ41,AO39=AO41),BM39,0),IF(AND(AJ39=AJ38,AQ39=AQ38,AO39=AO38),BJ39,0))</f>
        <v>0</v>
      </c>
      <c r="BJ39" s="835">
        <f ca="1">BD39-BE38</f>
        <v>-7</v>
      </c>
      <c r="BK39" s="835">
        <v>0</v>
      </c>
      <c r="BL39" s="835">
        <f ca="1">BF39-BE40</f>
        <v>-2</v>
      </c>
      <c r="BM39" s="835">
        <f ca="1">BG39-BE41</f>
        <v>1</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3</v>
      </c>
      <c r="BT39" s="829">
        <v>2</v>
      </c>
      <c r="BU39" s="829">
        <f ca="1">RANK(BW39,$BW$38:$BW$41)</f>
        <v>4</v>
      </c>
      <c r="BV39" s="829" t="str">
        <f ca="1">A38</f>
        <v>Costa Rica</v>
      </c>
      <c r="BW39" s="829">
        <f t="shared" ca="1" si="8"/>
        <v>3296210499.8200002</v>
      </c>
      <c r="BX39" s="829" t="str">
        <f ca="1">VLOOKUP(Q39,$AH$38:$AI$41,2,0)</f>
        <v>España</v>
      </c>
      <c r="BY39" s="829">
        <f ca="1">VLOOKUP($BX39,$AI$38:$AR$41,10,FALSE)</f>
        <v>4483210499.8299999</v>
      </c>
      <c r="CA39" s="829">
        <v>2</v>
      </c>
      <c r="CB39" s="829" t="str">
        <f ca="1">VLOOKUP(CA39,$AH$38:$AI$41,2,0)</f>
        <v>España</v>
      </c>
      <c r="CC39" s="829">
        <f ca="1">VLOOKUP(CB39,$AI$38:$AR$41,2,FALSE)</f>
        <v>4</v>
      </c>
      <c r="CD39" s="836">
        <f ca="1">IF(SUM($AK$38:$AK$41)=12,MIN(ABS(BY38-BY39),ABS(BY39-BY40)),100)</f>
        <v>28000000.019999504</v>
      </c>
      <c r="CE39" s="829">
        <f ca="1">VLOOKUP($CB39,$AI$38:$AR$41,9,FALSE)</f>
        <v>6</v>
      </c>
      <c r="CF39" s="829">
        <f ca="1">VLOOKUP($CB39,$AI$38:$AR$41,7,FALSE)</f>
        <v>9</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0</v>
      </c>
      <c r="CS39" s="827">
        <f t="array" aca="1" ref="CS39" ca="1">IF(AND($CC$39&lt;&gt;$CC$38,$CC$39&lt;&gt;$CC$40),1,0)</f>
        <v>0</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2"/>
      <c r="F40" s="224">
        <f>Horarios!C40</f>
        <v>44896.916666666664</v>
      </c>
      <c r="G40" s="225">
        <f>Horarios!C40</f>
        <v>44896.916666666664</v>
      </c>
      <c r="H40" s="224" t="s">
        <v>74</v>
      </c>
      <c r="I40" s="226" t="str">
        <f ca="1">A40</f>
        <v>Japón</v>
      </c>
      <c r="J40" s="227" t="str">
        <f ca="1">VLOOKUP(I40,Equipos!$H$2:$I$33,2,0)</f>
        <v>🇯🇵</v>
      </c>
      <c r="K40" s="228">
        <v>2</v>
      </c>
      <c r="L40" s="228">
        <v>1</v>
      </c>
      <c r="M40" s="379" t="str">
        <f ca="1">VLOOKUP(N40,Equipos!$H$2:$I$33,2,0)</f>
        <v>🇪🇸</v>
      </c>
      <c r="N40" s="235" t="str">
        <f ca="1">A37</f>
        <v>España</v>
      </c>
      <c r="O40" s="385">
        <f t="shared" si="25"/>
        <v>1</v>
      </c>
      <c r="P40" s="88"/>
      <c r="Q40" s="290">
        <v>3</v>
      </c>
      <c r="R40" s="4" t="str">
        <f ca="1">VLOOKUP(Q40,$AG$38:$AI$41,3,0)</f>
        <v>Alemania</v>
      </c>
      <c r="S40" s="3">
        <f ca="1">VLOOKUP(R40,$AI$38:$AR$41,2,FALSE)</f>
        <v>4</v>
      </c>
      <c r="T40" s="3">
        <f ca="1">VLOOKUP($R40,$AI$38:$AR$41,3,FALSE)</f>
        <v>3</v>
      </c>
      <c r="U40" s="3">
        <f ca="1">VLOOKUP($R40,$AI$38:$AR$41,4,FALSE)</f>
        <v>1</v>
      </c>
      <c r="V40" s="3">
        <f ca="1">VLOOKUP($R40,$AI$38:$AR$41,5,FALSE)</f>
        <v>1</v>
      </c>
      <c r="W40" s="3">
        <f ca="1">VLOOKUP($R40,$AI$38:$AR$41,6,FALSE)</f>
        <v>1</v>
      </c>
      <c r="X40" s="3">
        <f ca="1">VLOOKUP($R40,$AI$38:$AR$41,7,FALSE)</f>
        <v>6</v>
      </c>
      <c r="Y40" s="3">
        <f ca="1">VLOOKUP($R40,$AI$38:$AR$41,8,FALSE)</f>
        <v>5</v>
      </c>
      <c r="Z40" s="291">
        <f ca="1">VLOOKUP($R40,$AI$38:$AR$41,9,FALSE)</f>
        <v>1</v>
      </c>
      <c r="AA40" s="395">
        <f ca="1">IF(SUM($AK$38:$AK$41)=12,MIN(ABS(BY39-BY40),ABS(BY40-BY41)),100)</f>
        <v>28000000.019999504</v>
      </c>
      <c r="AB40" s="101" t="str">
        <f ca="1">IF(AND(AA40&gt;=0,AA40&lt;90),VLOOKUP(Q40,$BU$38:$BV$41,2,0),"")</f>
        <v/>
      </c>
      <c r="AC40" s="78"/>
      <c r="AD40" s="79"/>
      <c r="AE40" s="365"/>
      <c r="AF40" s="828">
        <f ca="1">VLOOKUP($R40,$AI$38:$AR$41,10,FALSE)</f>
        <v>4455210499.8100004</v>
      </c>
      <c r="AG40" s="827">
        <f ca="1">RANK(AU40,$AU$38:$AU$41)</f>
        <v>3</v>
      </c>
      <c r="AH40" s="827">
        <f ca="1">RANK(AR40,$AR$38:$AR$41)</f>
        <v>3</v>
      </c>
      <c r="AI40" s="829" t="str">
        <f ca="1">A39</f>
        <v>Alemania</v>
      </c>
      <c r="AJ40" s="827">
        <f ca="1">AL40*3+AM40*1+AN40*0</f>
        <v>4</v>
      </c>
      <c r="AK40" s="827">
        <f ca="1">COUNTIFS($I$4:$I$65,AI40,$K$4:$K$65,"&lt;&gt;",$L$4:$L$65,"&lt;&gt;")+COUNTIFS($N$4:$N$65,AI40,$L$4:$L$65,"&lt;&gt;",$K$4:$K$65,"&lt;&gt;")</f>
        <v>3</v>
      </c>
      <c r="AL40" s="827">
        <f t="array" aca="1" ref="AL40" ca="1">SUM(($I$4:$I$65=AI40)*($K$4:$K$65&lt;&gt;"")*($L$4:$L$65&lt;&gt;"")*($K$4:$K$65&gt;$L$4:$L$65),($N$4:$N$65=AI40)*($K$4:$K$65&lt;&gt;"")*($L$4:$L$65&lt;&gt;"")*($K$4:$K$65&lt;$L$4:$L$65))</f>
        <v>1</v>
      </c>
      <c r="AM40" s="827">
        <f t="array" aca="1" ref="AM40" ca="1">SUM(($I$4:$I$65=AI40)*($K$4:$K$65&lt;&gt;"")*($L$4:$L$65&lt;&gt;"")*($K$4:$K$65=$L$4:$L$65),($N$4:$N$65=AI40)*($K$4:$K$65&lt;&gt;"")*($L$4:$L$65&lt;&gt;"")*($K$4:$K$65=$L$4:$L$65))</f>
        <v>1</v>
      </c>
      <c r="AN40" s="827">
        <f t="array" aca="1" ref="AN40" ca="1">SUM(($I$4:$I$65=AI40)*($L$4:$L$65&lt;&gt;"")*($K$4:$K$65&lt;&gt;"")*($K$4:$K$65&lt;$L$4:$L$65),($K$4:$K$65&lt;&gt;"")*($N$4:$N$65=AI40)*($L$4:$L$65&lt;&gt;"")*($K$4:$K$65&gt;$L$4:$L$65))</f>
        <v>1</v>
      </c>
      <c r="AO40" s="827">
        <f t="array" aca="1" ref="AO40" ca="1">SUMIFS($K$4:$K$65,$I$4:$I$65,AI40,$K$4:$K$65,"&lt;&gt;",$L$4:$L$65,"&lt;&gt;")+SUMIFS($L$4:$L$65,$N$4:$N$65,AI40,$K$4:$K$65,"&lt;&gt;",$L$4:$L$65,"&lt;&gt;")</f>
        <v>6</v>
      </c>
      <c r="AP40" s="827">
        <f t="array" aca="1" ref="AP40" ca="1">SUMIFS($K$4:$K$65,$N$4:$N$65,AI40,$K$4:$K$65,"&lt;&gt;",$L$4:$L$65,"&lt;&gt;")+SUMIFS($L$4:$L$65,$I$4:$I$65,AI40,$K$4:$K$65,"&lt;&gt;",$L$4:$L$65,"&lt;&gt;")</f>
        <v>5</v>
      </c>
      <c r="AQ40" s="827">
        <f ca="1">AO40-AP40</f>
        <v>1</v>
      </c>
      <c r="AR40" s="827">
        <f ca="1">IF(AK40=0,-($AW$11*VLOOKUP(AI40,Tabla3[[NombreEquipo]:[Rank]],3,FALSE)),AJ40*$AW$4+AQ40*$AW$5+AO40*$AW$6+BA40-($AW$11*VLOOKUP(AI40,Tabla3[[NombreEquipo]:[Rank]],3,FALSE)/100))</f>
        <v>4455210499.8100004</v>
      </c>
      <c r="AS40" s="827">
        <f ca="1">AH40</f>
        <v>3</v>
      </c>
      <c r="AT40" s="827"/>
      <c r="AU40" s="827">
        <f ca="1">IFERROR(AR40-VLOOKUP(AI40,$AB$38:$AC$41,2,0),AR40)</f>
        <v>4455210499.8100004</v>
      </c>
      <c r="AV40" s="827"/>
      <c r="AW40" s="830"/>
      <c r="AX40" s="827"/>
      <c r="AY40" s="834" t="str">
        <f ca="1">AI40</f>
        <v>Alemania</v>
      </c>
      <c r="AZ40" s="827">
        <f ca="1">COUNTIF(AJ38:AJ41,AJ40)</f>
        <v>2</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1</v>
      </c>
      <c r="BE40" s="835">
        <f t="array" aca="1" ref="BE40" ca="1">SUMIFS($K$36:$K$41,$I$36:$I$41,$AY40,$K$36:$K$41,"&lt;&gt;",$L$36:$L$41,"&lt;&gt;",$N$36:$N$41,BE37)+SUMIFS($L$36:$L$41,$I$36:$I$41,BE37,$K$36:$K$41,"&lt;&gt;",$L$36:$L$41,"&lt;&gt;",$N$36:$N$41,$AY40)</f>
        <v>4</v>
      </c>
      <c r="BF40" s="835">
        <v>0</v>
      </c>
      <c r="BG40" s="835">
        <f t="array" aca="1" ref="BG40" ca="1">SUMIFS($K$36:$K$41,$I$36:$I$41,$AY40,$K$36:$K$41,"&lt;&gt;",$L$36:$L$41,"&lt;&gt;",$N$36:$N$41,BG37)+SUMIFS($L$36:$L$41,$I$36:$I$41,BG37,$K$36:$K$41,"&lt;&gt;",$L$36:$L$41,"&lt;&gt;",$N$36:$N$41,$AY40)</f>
        <v>1</v>
      </c>
      <c r="BH40" s="835">
        <f ca="1">RANK(BI40,BI38:BI41,1)</f>
        <v>1</v>
      </c>
      <c r="BI40" s="835">
        <f ca="1">SUM(IF(AND(AJ40=AJ41,AQ40=AQ41,AO40=AO41),BM40,0),IF(AND(AJ40=AJ38,AQ40=AQ38,AO40=AO38),BJ40,0),IF(AND(AJ40=AJ39,AQ40=AQ39,AO40=AO39),BK40,0))</f>
        <v>0</v>
      </c>
      <c r="BJ40" s="835">
        <f ca="1">BD40-BF38</f>
        <v>0</v>
      </c>
      <c r="BK40" s="835">
        <f ca="1">BE40-BF39</f>
        <v>2</v>
      </c>
      <c r="BL40" s="835">
        <v>0</v>
      </c>
      <c r="BM40" s="835">
        <f ca="1">BG40-BF41</f>
        <v>-1</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1</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0</v>
      </c>
      <c r="BT40" s="829">
        <v>3</v>
      </c>
      <c r="BU40" s="829">
        <f ca="1">RANK(BW40,$BW$38:$BW$41)</f>
        <v>3</v>
      </c>
      <c r="BV40" s="829" t="str">
        <f ca="1">A39</f>
        <v>Alemania</v>
      </c>
      <c r="BW40" s="829">
        <f t="shared" ca="1" si="8"/>
        <v>4455210499.8100004</v>
      </c>
      <c r="BX40" s="829" t="str">
        <f ca="1">VLOOKUP(Q40,$AH$38:$AI$41,2,0)</f>
        <v>Alemania</v>
      </c>
      <c r="BY40" s="829">
        <f ca="1">VLOOKUP($BX40,$AI$38:$AR$41,10,FALSE)</f>
        <v>4455210499.8100004</v>
      </c>
      <c r="CA40" s="829">
        <v>3</v>
      </c>
      <c r="CB40" s="829" t="str">
        <f ca="1">VLOOKUP(CA40,$AH$38:$AI$41,2,0)</f>
        <v>Alemania</v>
      </c>
      <c r="CC40" s="829">
        <f ca="1">VLOOKUP(CB40,$AI$38:$AR$41,2,FALSE)</f>
        <v>4</v>
      </c>
      <c r="CD40" s="836">
        <f ca="1">IF(SUM($AK$38:$AK$41)=12,MIN(ABS(BY39-BY40),ABS(BY40-BY41)),100)</f>
        <v>28000000.019999504</v>
      </c>
      <c r="CE40" s="829">
        <f ca="1">VLOOKUP($CB40,$AI$38:$AR$41,9,FALSE)</f>
        <v>1</v>
      </c>
      <c r="CF40" s="829">
        <f ca="1">VLOOKUP($CB40,$AI$38:$AR$41,7,FALSE)</f>
        <v>6</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0</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0</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75" thickBot="1">
      <c r="A41" s="810"/>
      <c r="B41" s="810"/>
      <c r="C41" s="810"/>
      <c r="D41" s="159"/>
      <c r="E41" s="933"/>
      <c r="F41" s="236">
        <f>Horarios!C41</f>
        <v>44896.916666666664</v>
      </c>
      <c r="G41" s="237">
        <f>Horarios!C41</f>
        <v>44896.916666666664</v>
      </c>
      <c r="H41" s="236" t="s">
        <v>74</v>
      </c>
      <c r="I41" s="238" t="str">
        <f ca="1">A38</f>
        <v>Costa Rica</v>
      </c>
      <c r="J41" s="239" t="str">
        <f ca="1">VLOOKUP(I41,Equipos!$H$2:$I$33,2,0)</f>
        <v>🇨🇷</v>
      </c>
      <c r="K41" s="240">
        <v>2</v>
      </c>
      <c r="L41" s="240">
        <v>4</v>
      </c>
      <c r="M41" s="380" t="str">
        <f ca="1">VLOOKUP(N41,Equipos!$H$2:$I$33,2,0)</f>
        <v>🇩🇪</v>
      </c>
      <c r="N41" s="241" t="str">
        <f ca="1">A39</f>
        <v>Alemania</v>
      </c>
      <c r="O41" s="385">
        <f t="shared" si="25"/>
        <v>1</v>
      </c>
      <c r="P41" s="88"/>
      <c r="Q41" s="292">
        <v>4</v>
      </c>
      <c r="R41" s="293" t="str">
        <f ca="1">VLOOKUP(Q41,$AG$38:$AI$41,3,0)</f>
        <v>Costa Rica</v>
      </c>
      <c r="S41" s="294">
        <f ca="1">VLOOKUP(R41,$AI$38:$AR$41,2,FALSE)</f>
        <v>3</v>
      </c>
      <c r="T41" s="294">
        <f ca="1">VLOOKUP($R41,$AI$38:$AR$41,3,FALSE)</f>
        <v>3</v>
      </c>
      <c r="U41" s="294">
        <f ca="1">VLOOKUP($R41,$AI$38:$AR$41,4,FALSE)</f>
        <v>1</v>
      </c>
      <c r="V41" s="294">
        <f ca="1">VLOOKUP($R41,$AI$38:$AR$41,5,FALSE)</f>
        <v>0</v>
      </c>
      <c r="W41" s="294">
        <f ca="1">VLOOKUP($R41,$AI$38:$AR$41,6,FALSE)</f>
        <v>2</v>
      </c>
      <c r="X41" s="294">
        <f ca="1">VLOOKUP($R41,$AI$38:$AR$41,7,FALSE)</f>
        <v>3</v>
      </c>
      <c r="Y41" s="294">
        <f ca="1">VLOOKUP($R41,$AI$38:$AR$41,8,FALSE)</f>
        <v>11</v>
      </c>
      <c r="Z41" s="295">
        <f ca="1">VLOOKUP($R41,$AI$38:$AR$41,9,FALSE)</f>
        <v>-8</v>
      </c>
      <c r="AA41" s="395">
        <f ca="1">IF(SUM($AK$38:$AK$41)=12,MIN(ABS(BY40-BY41),ABS(BY41-BY42)),100)</f>
        <v>1158999999.9900002</v>
      </c>
      <c r="AB41" s="101" t="str">
        <f ca="1">IF(AND(AA41&gt;=0,AA41&lt;90),VLOOKUP(Q41,$BU$38:$BV$41,2,0),"")</f>
        <v/>
      </c>
      <c r="AC41" s="78"/>
      <c r="AD41" s="79"/>
      <c r="AE41" s="365"/>
      <c r="AF41" s="828">
        <f ca="1">VLOOKUP($R41,$AI$38:$AR$41,10,FALSE)</f>
        <v>3296210499.8200002</v>
      </c>
      <c r="AG41" s="827">
        <f ca="1">RANK(AU41,$AU$38:$AU$41)</f>
        <v>1</v>
      </c>
      <c r="AH41" s="827">
        <f ca="1">RANK(AR41,$AR$38:$AR$41)</f>
        <v>1</v>
      </c>
      <c r="AI41" s="829" t="str">
        <f ca="1">A40</f>
        <v>Japón</v>
      </c>
      <c r="AJ41" s="827">
        <f ca="1">AL41*3+AM41*1+AN41*0</f>
        <v>6</v>
      </c>
      <c r="AK41" s="827">
        <f ca="1">COUNTIFS($I$4:$I$65,AI41,$K$4:$K$65,"&lt;&gt;",$L$4:$L$65,"&lt;&gt;")+COUNTIFS($N$4:$N$65,AI41,$L$4:$L$65,"&lt;&gt;",$K$4:$K$65,"&lt;&gt;")</f>
        <v>3</v>
      </c>
      <c r="AL41" s="827">
        <f t="array" aca="1" ref="AL41" ca="1">SUM(($I$4:$I$65=AI41)*($K$4:$K$65&lt;&gt;"")*($L$4:$L$65&lt;&gt;"")*($K$4:$K$65&gt;$L$4:$L$65),($N$4:$N$65=AI41)*($K$4:$K$65&lt;&gt;"")*($L$4:$L$65&lt;&gt;"")*($K$4:$K$65&lt;$L$4:$L$65))</f>
        <v>2</v>
      </c>
      <c r="AM41" s="827">
        <f t="array" aca="1" ref="AM41" ca="1">SUM(($I$4:$I$65=AI41)*($K$4:$K$65&lt;&gt;"")*($L$4:$L$65&lt;&gt;"")*($K$4:$K$65=$L$4:$L$65),($N$4:$N$65=AI41)*($K$4:$K$65&lt;&gt;"")*($L$4:$L$65&lt;&gt;"")*($K$4:$K$65=$L$4:$L$65))</f>
        <v>0</v>
      </c>
      <c r="AN41" s="827">
        <f t="array" aca="1" ref="AN41" ca="1">SUM(($I$4:$I$65=AI41)*($L$4:$L$65&lt;&gt;"")*($K$4:$K$65&lt;&gt;"")*($K$4:$K$65&lt;$L$4:$L$65),($K$4:$K$65&lt;&gt;"")*($N$4:$N$65=AI41)*($L$4:$L$65&lt;&gt;"")*($K$4:$K$65&gt;$L$4:$L$65))</f>
        <v>1</v>
      </c>
      <c r="AO41" s="827">
        <f t="array" aca="1" ref="AO41" ca="1">SUMIFS($K$4:$K$65,$I$4:$I$65,AI41,$K$4:$K$65,"&lt;&gt;",$L$4:$L$65,"&lt;&gt;")+SUMIFS($L$4:$L$65,$N$4:$N$65,AI41,$K$4:$K$65,"&lt;&gt;",$L$4:$L$65,"&lt;&gt;")</f>
        <v>4</v>
      </c>
      <c r="AP41" s="827">
        <f t="array" aca="1" ref="AP41" ca="1">SUMIFS($K$4:$K$65,$N$4:$N$65,AI41,$K$4:$K$65,"&lt;&gt;",$L$4:$L$65,"&lt;&gt;")+SUMIFS($L$4:$L$65,$I$4:$I$65,AI41,$K$4:$K$65,"&lt;&gt;",$L$4:$L$65,"&lt;&gt;")</f>
        <v>3</v>
      </c>
      <c r="AQ41" s="827">
        <f ca="1">AO41-AP41</f>
        <v>1</v>
      </c>
      <c r="AR41" s="827">
        <f ca="1">IF(AK41=0,-($AW$11*VLOOKUP(AI41,Tabla3[[NombreEquipo]:[Rank]],3,FALSE)),AJ41*$AW$4+AQ41*$AW$5+AO41*$AW$6+BA41-($AW$11*VLOOKUP(AI41,Tabla3[[NombreEquipo]:[Rank]],3,FALSE)/100))</f>
        <v>6675210499.8000002</v>
      </c>
      <c r="AS41" s="827">
        <f ca="1">AH41</f>
        <v>1</v>
      </c>
      <c r="AT41" s="827"/>
      <c r="AU41" s="827">
        <f ca="1">IFERROR(AR41-VLOOKUP(AI41,$AB$38:$AC$41,2,0),AR41)</f>
        <v>6675210499.8000002</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2</v>
      </c>
      <c r="BE41" s="835">
        <f t="array" aca="1" ref="BE41" ca="1">SUMIFS($K$36:$K$41,$I$36:$I$41,$AY41,$K$36:$K$41,"&lt;&gt;",$L$36:$L$41,"&lt;&gt;",$N$36:$N$41,BE37)+SUMIFS($L$36:$L$41,$I$36:$I$41,BE37,$K$36:$K$41,"&lt;&gt;",$L$36:$L$41,"&lt;&gt;",$N$36:$N$41,$AY41)</f>
        <v>0</v>
      </c>
      <c r="BF41" s="835">
        <f t="array" aca="1" ref="BF41" ca="1">SUMIFS($K$36:$K$41,$I$36:$I$41,$AY41,$K$36:$K$41,"&lt;&gt;",$L$36:$L$41,"&lt;&gt;",$N$36:$N$41,BF37)+SUMIFS($L$36:$L$41,$I$36:$I$41,BF37,$K$36:$K$41,"&lt;&gt;",$L$36:$L$41,"&lt;&gt;",$N$36:$N$41,$AY41)</f>
        <v>2</v>
      </c>
      <c r="BG41" s="835">
        <v>0</v>
      </c>
      <c r="BH41" s="835">
        <f ca="1">RANK(BI41,BI38:BI41,1)</f>
        <v>1</v>
      </c>
      <c r="BI41" s="835">
        <f ca="1">SUM(IF(AND(AJ41=AJ38,AQ41=AQ38,AO41=AO38),BJ41,0),IF(AND(AJ41=AJ39,AQ41=AQ39,AO41=AO39),BK41,0),IF(AND(AJ41=AJ40,AQ41=AQ40,AO41=AO40),BL41,0))</f>
        <v>0</v>
      </c>
      <c r="BJ41" s="835">
        <f ca="1">BD41-BG38</f>
        <v>1</v>
      </c>
      <c r="BK41" s="835">
        <f ca="1">BE41-BG39</f>
        <v>-1</v>
      </c>
      <c r="BL41" s="835">
        <f ca="1">BF41-BG40</f>
        <v>1</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3</v>
      </c>
      <c r="BQ41" s="835">
        <f t="array" aca="1" ref="BQ41" ca="1">SUM((I$4:I$49=AY41)*(N$4:N$49=BQ37)*(K$4:K$49&lt;&gt;"")*(L$4:L$49&lt;&gt;"")*(K$4:K$49&gt;L$4:L$49)*3,(N$4:N$49=AY41)*(I$4:I$49=BQ37)*(K$4:K$49&lt;&gt;"")*(L$4:L$49&lt;&gt;"")*(K$4:K$49=L$4:L$49)*1,(N$4:N$49=AY41)*(I$4:I$49=BQ37)*(K$4:K$49&lt;&gt;"")*(L$4:L$49&lt;&gt;"")*(K$4:K$49&lt;L$4:L$49)*3,(I$4:I$49=AY41)*(N$4:N$49=BQ37)*(K$4:K$49&lt;&gt;"")*(L$4:L$49&lt;&gt;"")*(K$4:K$49=L$4:L$49)*1)</f>
        <v>0</v>
      </c>
      <c r="BR41" s="835">
        <f t="array" aca="1" ref="BR41" ca="1">SUM((I$4:I$49=AY41)*(N$4:N$49=BR37)*(K$4:K$49&lt;&gt;"")*(L$4:L$49&lt;&gt;"")*(K$4:K$49&gt;L$4:L$49)*3,(N$4:N$49=AY41)*(I$4:I$49=BR37)*(K$4:K$49&lt;&gt;"")*(L$4:L$49&lt;&gt;"")*(K$4:K$49=L$4:L$49)*1,(N$4:N$49=AY41)*(I$4:I$49=BR37)*(K$4:K$49&lt;&gt;"")*(L$4:L$49&lt;&gt;"")*(K$4:K$49&lt;L$4:L$49)*3,(I$4:I$49=AY41)*(N$4:N$49=BR37)*(K$4:K$49&lt;&gt;"")*(L$4:L$49&lt;&gt;"")*(K$4:K$49=L$4:L$49)*1)</f>
        <v>3</v>
      </c>
      <c r="BS41" s="835">
        <v>0</v>
      </c>
      <c r="BT41" s="829">
        <v>4</v>
      </c>
      <c r="BU41" s="829">
        <f ca="1">RANK(BW41,$BW$38:$BW$41)</f>
        <v>1</v>
      </c>
      <c r="BV41" s="829" t="str">
        <f ca="1">A40</f>
        <v>Japón</v>
      </c>
      <c r="BW41" s="829">
        <f t="shared" ca="1" si="8"/>
        <v>6675210499.8000002</v>
      </c>
      <c r="BX41" s="829" t="str">
        <f ca="1">VLOOKUP(Q41,$AH$38:$AI$41,2,0)</f>
        <v>Costa Rica</v>
      </c>
      <c r="BY41" s="829">
        <f ca="1">VLOOKUP($BX41,$AI$38:$AR$41,10,FALSE)</f>
        <v>3296210499.8200002</v>
      </c>
      <c r="CA41" s="829">
        <v>4</v>
      </c>
      <c r="CB41" s="829" t="str">
        <f ca="1">VLOOKUP(CA41,$AH$38:$AI$41,2,0)</f>
        <v>Costa Rica</v>
      </c>
      <c r="CC41" s="829">
        <f ca="1">VLOOKUP(CB41,$AI$38:$AR$41,2,FALSE)</f>
        <v>3</v>
      </c>
      <c r="CD41" s="836">
        <f ca="1">IF(SUM($AK$38:$AK$41)=12,MIN(ABS(BY40-BY41),ABS(BY41-BY42)),100)</f>
        <v>1158999999.9900002</v>
      </c>
      <c r="CE41" s="829">
        <f ca="1">VLOOKUP($CB41,$AI$38:$AR$41,9,FALSE)</f>
        <v>-8</v>
      </c>
      <c r="CF41" s="829">
        <f ca="1">VLOOKUP($CB41,$AI$38:$AR$41,7,FALSE)</f>
        <v>3</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7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937" t="s">
        <v>4</v>
      </c>
      <c r="F44" s="413">
        <f>Horarios!C44</f>
        <v>44888.541666666664</v>
      </c>
      <c r="G44" s="414">
        <f>Horarios!C44</f>
        <v>44888.541666666664</v>
      </c>
      <c r="H44" s="413" t="s">
        <v>72</v>
      </c>
      <c r="I44" s="415" t="str">
        <f ca="1">A47</f>
        <v>Marruecos</v>
      </c>
      <c r="J44" s="416" t="str">
        <f ca="1">VLOOKUP(I44,Equipos!$H$2:$I$33,2,0)</f>
        <v>🇲🇦</v>
      </c>
      <c r="K44" s="431">
        <v>0</v>
      </c>
      <c r="L44" s="431">
        <v>0</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4" t="s">
        <v>67</v>
      </c>
      <c r="AC44" s="874"/>
      <c r="AD44" s="874"/>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75" thickBot="1">
      <c r="A45" s="812" t="str">
        <f t="array" aca="1" ref="A45" ca="1">IF(ROWS(A$45:A45)&lt;=$C$44,INDEX(INDIRECT(A$44),SMALL(IF(Nivell=$B$44,ROW(Nivell)-ROW(Equipos!$C$2)+1),ROWS(B$44:B44))),"")</f>
        <v>Bélgica</v>
      </c>
      <c r="B45" s="813"/>
      <c r="C45" s="813"/>
      <c r="D45" s="159"/>
      <c r="E45" s="938"/>
      <c r="F45" s="417">
        <f>Horarios!C45</f>
        <v>44888.916666666664</v>
      </c>
      <c r="G45" s="418">
        <f>Horarios!C45</f>
        <v>44888.916666666664</v>
      </c>
      <c r="H45" s="417" t="s">
        <v>72</v>
      </c>
      <c r="I45" s="419" t="str">
        <f ca="1">A45</f>
        <v>Bélgica</v>
      </c>
      <c r="J45" s="420" t="str">
        <f ca="1">VLOOKUP(I45,Equipos!$H$2:$I$33,2,0)</f>
        <v>🇧🇪</v>
      </c>
      <c r="K45" s="432">
        <v>1</v>
      </c>
      <c r="L45" s="432">
        <v>0</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874"/>
      <c r="AC45" s="874"/>
      <c r="AD45" s="874"/>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38"/>
      <c r="F46" s="417">
        <f>Horarios!C46</f>
        <v>44892.666666666664</v>
      </c>
      <c r="G46" s="418">
        <f>Horarios!C46</f>
        <v>44892.666666666664</v>
      </c>
      <c r="H46" s="417" t="s">
        <v>73</v>
      </c>
      <c r="I46" s="419" t="str">
        <f ca="1">A45</f>
        <v>Bélgica</v>
      </c>
      <c r="J46" s="420" t="str">
        <f ca="1">VLOOKUP(I46,Equipos!$H$2:$I$33,2,0)</f>
        <v>🇧🇪</v>
      </c>
      <c r="K46" s="432">
        <v>0</v>
      </c>
      <c r="L46" s="432">
        <v>2</v>
      </c>
      <c r="M46" s="427" t="str">
        <f ca="1">VLOOKUP(N46,Equipos!$H$2:$I$33,2,0)</f>
        <v>🇲🇦</v>
      </c>
      <c r="N46" s="428" t="str">
        <f ca="1">A47</f>
        <v>Marruecos</v>
      </c>
      <c r="O46" s="385">
        <f t="shared" si="32"/>
        <v>1</v>
      </c>
      <c r="P46" s="88"/>
      <c r="Q46" s="451">
        <v>1</v>
      </c>
      <c r="R46" s="452" t="str">
        <f ca="1">VLOOKUP(Q46,$AG$46:$AI$49,3,0)</f>
        <v>Marruecos</v>
      </c>
      <c r="S46" s="453">
        <f ca="1">VLOOKUP(R46,$AI$46:$AR$49,2,FALSE)</f>
        <v>7</v>
      </c>
      <c r="T46" s="453">
        <f ca="1">VLOOKUP($R46,$AI$46:$AR$49,3,FALSE)</f>
        <v>3</v>
      </c>
      <c r="U46" s="453">
        <f ca="1">VLOOKUP($R46,$AI$46:$AR$49,4,FALSE)</f>
        <v>2</v>
      </c>
      <c r="V46" s="453">
        <f ca="1">VLOOKUP($R46,$AI$46:$AR$49,5,FALSE)</f>
        <v>1</v>
      </c>
      <c r="W46" s="453">
        <f ca="1">VLOOKUP($R46,$AI$46:$AR$49,6,FALSE)</f>
        <v>0</v>
      </c>
      <c r="X46" s="453">
        <f ca="1">VLOOKUP($R46,$AI$46:$AR$49,7,FALSE)</f>
        <v>4</v>
      </c>
      <c r="Y46" s="453">
        <f ca="1">VLOOKUP($R46,$AI$46:$AR$49,8,FALSE)</f>
        <v>1</v>
      </c>
      <c r="Z46" s="454">
        <f ca="1">VLOOKUP($R46,$AI$46:$AR$49,9,FALSE)</f>
        <v>3</v>
      </c>
      <c r="AA46" s="395">
        <f ca="1">IF(SUM($AK$46:$AK$49)=12,MIN(ABS(BY45-BY46),ABS(BY46-BY47)),100)</f>
        <v>2222000000.0100002</v>
      </c>
      <c r="AB46" s="101" t="str">
        <f ca="1">IF(AND(AA46&gt;=0,AA46&lt;90),VLOOKUP(Q46,$BU$46:$BV$49,2,0),"")</f>
        <v/>
      </c>
      <c r="AC46" s="78"/>
      <c r="AD46" s="79"/>
      <c r="AE46" s="365"/>
      <c r="AF46" s="828">
        <f ca="1">VLOOKUP($R46,$AI$46:$AR$49,10,FALSE)</f>
        <v>7796210499.7700005</v>
      </c>
      <c r="AG46" s="827">
        <f ca="1">RANK(AU46,$AU$46:$AU$49)</f>
        <v>3</v>
      </c>
      <c r="AH46" s="827">
        <f ca="1">RANK(AR46,$AR$46:$AR$49)</f>
        <v>3</v>
      </c>
      <c r="AI46" s="829" t="str">
        <f ca="1">A45</f>
        <v>Bélgica</v>
      </c>
      <c r="AJ46" s="827">
        <f ca="1">AL46*3+AM46*1+AN46*0</f>
        <v>4</v>
      </c>
      <c r="AK46" s="827">
        <f ca="1">COUNTIFS($I$4:$I$65,AI46,$K$4:$K$65,"&lt;&gt;",$L$4:$L$65,"&lt;&gt;")+COUNTIFS($N$4:$N$65,AI46,$L$4:$L$65,"&lt;&gt;",$K$4:$K$65,"&lt;&gt;")</f>
        <v>3</v>
      </c>
      <c r="AL46" s="827">
        <f t="array" aca="1" ref="AL46" ca="1">SUM(($I$4:$I$65=AI46)*($K$4:$K$65&lt;&gt;"")*($L$4:$L$65&lt;&gt;"")*($K$4:$K$65&gt;$L$4:$L$65),($N$4:$N$65=AI46)*($K$4:$K$65&lt;&gt;"")*($L$4:$L$65&lt;&gt;"")*($K$4:$K$65&lt;$L$4:$L$65))</f>
        <v>1</v>
      </c>
      <c r="AM46" s="827">
        <f t="array" aca="1" ref="AM46" ca="1">SUM(($I$4:$I$65=AI46)*($K$4:$K$65&lt;&gt;"")*($L$4:$L$65&lt;&gt;"")*($K$4:$K$65=$L$4:$L$65),($N$4:$N$65=AI46)*($K$4:$K$65&lt;&gt;"")*($L$4:$L$65&lt;&gt;"")*($K$4:$K$65=$L$4:$L$65))</f>
        <v>1</v>
      </c>
      <c r="AN46" s="827">
        <f t="array" aca="1" ref="AN46" ca="1">SUM(($I$4:$I$65=AI46)*($L$4:$L$65&lt;&gt;"")*($K$4:$K$65&lt;&gt;"")*($K$4:$K$65&lt;$L$4:$L$65),($K$4:$K$65&lt;&gt;"")*($N$4:$N$65=AI46)*($L$4:$L$65&lt;&gt;"")*($K$4:$K$65&gt;$L$4:$L$65))</f>
        <v>1</v>
      </c>
      <c r="AO46" s="827">
        <f t="array" aca="1" ref="AO46" ca="1">SUMIFS($K$4:$K$65,$I$4:$I$65,AI46,$K$4:$K$65,"&lt;&gt;",$L$4:$L$65,"&lt;&gt;")+SUMIFS($L$4:$L$65,$N$4:$N$65,AI46,$K$4:$K$65,"&lt;&gt;",$L$4:$L$65,"&lt;&gt;")</f>
        <v>1</v>
      </c>
      <c r="AP46" s="827">
        <f t="array" aca="1" ref="AP46" ca="1">SUMIFS($K$4:$K$65,$N$4:$N$65,AI46,$K$4:$K$65,"&lt;&gt;",$L$4:$L$65,"&lt;&gt;")+SUMIFS($L$4:$L$65,$I$4:$I$65,AI46,$K$4:$K$65,"&lt;&gt;",$L$4:$L$65,"&lt;&gt;")</f>
        <v>2</v>
      </c>
      <c r="AQ46" s="827">
        <f ca="1">AO46-AP46</f>
        <v>-1</v>
      </c>
      <c r="AR46" s="827">
        <f ca="1">IF(AK46=0,-($AW$11*VLOOKUP(AI46,Tabla3[[NombreEquipo]:[Rank]],3,FALSE)),AJ46*$AW$4+AQ46*$AW$5+AO46*$AW$6+BA46-($AW$11*VLOOKUP(AI46,Tabla3[[NombreEquipo]:[Rank]],3,FALSE)/100))</f>
        <v>4440210499.79</v>
      </c>
      <c r="AS46" s="827">
        <f ca="1">AH46</f>
        <v>3</v>
      </c>
      <c r="AT46" s="827"/>
      <c r="AU46" s="827">
        <f ca="1">IFERROR(AR46-VLOOKUP(AI46,$AB$46:$AC$49,2,0),AR46)</f>
        <v>4440210499.79</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1</v>
      </c>
      <c r="BF46" s="835">
        <f t="array" aca="1" ref="BF46" ca="1">SUMIFS($K$44:$K$49,$I$44:$I$49,$AY46,$K$44:$K$49,"&lt;&gt;",$L$44:$L$49,"&lt;&gt;",$N$44:$N$49,BF45)+SUMIFS($L$44:$L$49,$I$44:$I$49,BF45,$K$44:$K$49,"&lt;&gt;",$L$44:$L$49,"&lt;&gt;",$N$44:$N$49,$AY46)</f>
        <v>0</v>
      </c>
      <c r="BG46" s="835">
        <f t="array" aca="1" ref="BG46" ca="1">SUMIFS($K$44:$K$49,$I$44:$I$49,$AY46,$K$44:$K$49,"&lt;&gt;",$L$44:$L$49,"&lt;&gt;",$N$44:$N$49,BG45)+SUMIFS($L$44:$L$49,$I$44:$I$49,BG45,$K$44:$K$49,"&lt;&gt;",$L$44:$L$49,"&lt;&gt;",$N$44:$N$49,$AY46)</f>
        <v>0</v>
      </c>
      <c r="BH46" s="835">
        <f ca="1">RANK(BI46,BI46:BI49,1)</f>
        <v>1</v>
      </c>
      <c r="BI46" s="835">
        <f ca="1">SUM(IF(AND(AJ46=AJ47,AQ46=AQ47,AO46=AO47),BK46,0),IF(AND(AJ46=AJ48,AQ46=AQ48,AO46=AO48),BL46,0),IF(AND(AJ46=AJ49,AQ46=AQ49,AO46=AO49),BM46,0))</f>
        <v>0</v>
      </c>
      <c r="BJ46" s="835">
        <v>0</v>
      </c>
      <c r="BK46" s="835">
        <f ca="1">BE46-BD47</f>
        <v>1</v>
      </c>
      <c r="BL46" s="835">
        <f ca="1">BF46-BD48</f>
        <v>-2</v>
      </c>
      <c r="BM46" s="835">
        <f ca="1">BG46-BD49</f>
        <v>0</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0</v>
      </c>
      <c r="BS46" s="835">
        <f t="array" aca="1" ref="BS46" ca="1">SUM((I$4:I$49=AY46)*(N$4:N$49=BS45)*(K$4:K$49&lt;&gt;"")*(L$4:L$49&lt;&gt;"")*(K$4:K$49&gt;L$4:L$49)*3,(N$4:N$49=AY46)*(I$4:I$49=BS45)*(K$4:K$49&lt;&gt;"")*(L$4:L$49&lt;&gt;"")*(K$4:K$49=L$4:L$49)*1,(N$4:N$49=AY46)*(I$4:I$49=BS45)*(K$4:K$49&lt;&gt;"")*(L$4:L$49&lt;&gt;"")*(K$4:K$49&lt;L$4:L$49)*3,(I$4:I$49=AY46)*(N$4:N$49=BS45)*(K$4:K$49&lt;&gt;"")*(L$4:L$49&lt;&gt;"")*(K$4:K$49=L$4:L$49)*1)</f>
        <v>1</v>
      </c>
      <c r="BT46" s="829">
        <v>1</v>
      </c>
      <c r="BU46" s="829">
        <f ca="1">RANK(BW46,$BW$46:$BW$49)</f>
        <v>3</v>
      </c>
      <c r="BV46" s="829" t="str">
        <f ca="1">A45</f>
        <v>Bélgica</v>
      </c>
      <c r="BW46" s="829">
        <f t="shared" ref="BW46" ca="1" si="34">AR46</f>
        <v>4440210499.79</v>
      </c>
      <c r="BX46" s="829" t="str">
        <f ca="1">VLOOKUP(Q46,$AH$46:$AI$49,2,0)</f>
        <v>Marruecos</v>
      </c>
      <c r="BY46" s="829">
        <f ca="1">VLOOKUP($BX46,$AI$46:$AR$49,10,FALSE)</f>
        <v>7796210499.7700005</v>
      </c>
      <c r="CA46" s="829">
        <v>1</v>
      </c>
      <c r="CB46" s="829" t="str">
        <f ca="1">VLOOKUP(CA46,$AH$46:$AI$49,2,0)</f>
        <v>Marruecos</v>
      </c>
      <c r="CC46" s="829">
        <f ca="1">VLOOKUP(CB46,$AI$46:$AR$49,2,FALSE)</f>
        <v>7</v>
      </c>
      <c r="CD46" s="836">
        <f ca="1">IF(SUM($AK$46:$AK$49)=12,MIN(ABS(BY45-BY46),ABS(BY46-BY47)),100)</f>
        <v>2222000000.0100002</v>
      </c>
      <c r="CE46" s="829">
        <f ca="1">VLOOKUP($CB46,$AI$46:$AR$49,9,FALSE)</f>
        <v>3</v>
      </c>
      <c r="CF46" s="829">
        <f ca="1">VLOOKUP($CB46,$AI$46:$AR$49,7,FALSE)</f>
        <v>4</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38"/>
      <c r="F47" s="417">
        <f>Horarios!C47</f>
        <v>44892.791666666664</v>
      </c>
      <c r="G47" s="418">
        <f>Horarios!C47</f>
        <v>44892.791666666664</v>
      </c>
      <c r="H47" s="417" t="s">
        <v>73</v>
      </c>
      <c r="I47" s="419" t="str">
        <f ca="1">A48</f>
        <v>Croacia</v>
      </c>
      <c r="J47" s="420" t="str">
        <f ca="1">VLOOKUP(I47,Equipos!$H$2:$I$33,2,0)</f>
        <v>🇭🇷</v>
      </c>
      <c r="K47" s="432">
        <v>4</v>
      </c>
      <c r="L47" s="432">
        <v>1</v>
      </c>
      <c r="M47" s="427" t="str">
        <f ca="1">VLOOKUP(N47,Equipos!$H$2:$I$33,2,0)</f>
        <v>🇨🇦</v>
      </c>
      <c r="N47" s="428" t="str">
        <f ca="1">A46</f>
        <v>Canadá</v>
      </c>
      <c r="O47" s="385">
        <f t="shared" si="32"/>
        <v>1</v>
      </c>
      <c r="P47" s="88"/>
      <c r="Q47" s="403">
        <v>2</v>
      </c>
      <c r="R47" s="4" t="str">
        <f ca="1">VLOOKUP(Q47,$AG$46:$AI$49,3,0)</f>
        <v>Croacia</v>
      </c>
      <c r="S47" s="3">
        <f ca="1">VLOOKUP(R47,$AI$46:$AR$49,2,FALSE)</f>
        <v>5</v>
      </c>
      <c r="T47" s="3">
        <f ca="1">VLOOKUP($R47,$AI$46:$AR$49,3,FALSE)</f>
        <v>3</v>
      </c>
      <c r="U47" s="3">
        <f ca="1">VLOOKUP($R47,$AI$46:$AR$49,4,FALSE)</f>
        <v>1</v>
      </c>
      <c r="V47" s="3">
        <f ca="1">VLOOKUP($R47,$AI$46:$AR$49,5,FALSE)</f>
        <v>2</v>
      </c>
      <c r="W47" s="3">
        <f ca="1">VLOOKUP($R47,$AI$46:$AR$49,6,FALSE)</f>
        <v>0</v>
      </c>
      <c r="X47" s="3">
        <f ca="1">VLOOKUP($R47,$AI$46:$AR$49,7,FALSE)</f>
        <v>4</v>
      </c>
      <c r="Y47" s="3">
        <f ca="1">VLOOKUP($R47,$AI$46:$AR$49,8,FALSE)</f>
        <v>1</v>
      </c>
      <c r="Z47" s="404">
        <f ca="1">VLOOKUP($R47,$AI$46:$AR$49,9,FALSE)</f>
        <v>3</v>
      </c>
      <c r="AA47" s="395">
        <f ca="1">IF(SUM($AK$46:$AK$49)=12,MIN(ABS(BY46-BY47),ABS(BY47-BY48)),100)</f>
        <v>1133999999.9700003</v>
      </c>
      <c r="AB47" s="101" t="str">
        <f ca="1">IF(AND(AA47&gt;=0,AA47&lt;90),VLOOKUP(Q47,$BU$46:$BV$49,2,0),"")</f>
        <v/>
      </c>
      <c r="AC47" s="78"/>
      <c r="AD47" s="79"/>
      <c r="AE47" s="365"/>
      <c r="AF47" s="828">
        <f ca="1">VLOOKUP($R47,$AI$46:$AR$49,10,FALSE)</f>
        <v>5574210499.7600002</v>
      </c>
      <c r="AG47" s="827">
        <f ca="1">RANK(AU47,$AU$46:$AU$49)</f>
        <v>4</v>
      </c>
      <c r="AH47" s="827">
        <f ca="1">RANK(AR47,$AR$46:$AR$49)</f>
        <v>4</v>
      </c>
      <c r="AI47" s="829" t="str">
        <f ca="1">A46</f>
        <v>Canadá</v>
      </c>
      <c r="AJ47" s="827">
        <f ca="1">AL47*3+AM47*1+AN47*0</f>
        <v>0</v>
      </c>
      <c r="AK47" s="827">
        <f ca="1">COUNTIFS($I$4:$I$65,AI47,$K$4:$K$65,"&lt;&gt;",$L$4:$L$65,"&lt;&gt;")+COUNTIFS($N$4:$N$65,AI47,$L$4:$L$65,"&lt;&gt;",$K$4:$K$65,"&lt;&gt;")</f>
        <v>3</v>
      </c>
      <c r="AL47" s="827">
        <f t="array" aca="1" ref="AL47" ca="1">SUM(($I$4:$I$65=AI47)*($K$4:$K$65&lt;&gt;"")*($L$4:$L$65&lt;&gt;"")*($K$4:$K$65&gt;$L$4:$L$65),($N$4:$N$65=AI47)*($K$4:$K$65&lt;&gt;"")*($L$4:$L$65&lt;&gt;"")*($K$4:$K$65&lt;$L$4:$L$65))</f>
        <v>0</v>
      </c>
      <c r="AM47" s="827">
        <f t="array" aca="1" ref="AM47" ca="1">SUM(($I$4:$I$65=AI47)*($K$4:$K$65&lt;&gt;"")*($L$4:$L$65&lt;&gt;"")*($K$4:$K$65=$L$4:$L$65),($N$4:$N$65=AI47)*($K$4:$K$65&lt;&gt;"")*($L$4:$L$65&lt;&gt;"")*($K$4:$K$65=$L$4:$L$65))</f>
        <v>0</v>
      </c>
      <c r="AN47" s="827">
        <f t="array" aca="1" ref="AN47" ca="1">SUM(($I$4:$I$65=AI47)*($L$4:$L$65&lt;&gt;"")*($K$4:$K$65&lt;&gt;"")*($K$4:$K$65&lt;$L$4:$L$65),($K$4:$K$65&lt;&gt;"")*($N$4:$N$65=AI47)*($L$4:$L$65&lt;&gt;"")*($K$4:$K$65&gt;$L$4:$L$65))</f>
        <v>3</v>
      </c>
      <c r="AO47" s="827">
        <f t="array" aca="1" ref="AO47" ca="1">SUMIFS($K$4:$K$65,$I$4:$I$65,AI47,$K$4:$K$65,"&lt;&gt;",$L$4:$L$65,"&lt;&gt;")+SUMIFS($L$4:$L$65,$N$4:$N$65,AI47,$K$4:$K$65,"&lt;&gt;",$L$4:$L$65,"&lt;&gt;")</f>
        <v>2</v>
      </c>
      <c r="AP47" s="827">
        <f t="array" aca="1" ref="AP47" ca="1">SUMIFS($K$4:$K$65,$N$4:$N$65,AI47,$K$4:$K$65,"&lt;&gt;",$L$4:$L$65,"&lt;&gt;")+SUMIFS($L$4:$L$65,$I$4:$I$65,AI47,$K$4:$K$65,"&lt;&gt;",$L$4:$L$65,"&lt;&gt;")</f>
        <v>7</v>
      </c>
      <c r="AQ47" s="827">
        <f ca="1">AO47-AP47</f>
        <v>-5</v>
      </c>
      <c r="AR47" s="827">
        <f ca="1">IF(AK47=0,-($AW$11*VLOOKUP(AI47,Tabla3[[NombreEquipo]:[Rank]],3,FALSE)),AJ47*$AW$4+AQ47*$AW$5+AO47*$AW$6+BA47-($AW$11*VLOOKUP(AI47,Tabla3[[NombreEquipo]:[Rank]],3,FALSE)/100))</f>
        <v>-22789500.219999999</v>
      </c>
      <c r="AS47" s="827">
        <f ca="1">AH47</f>
        <v>4</v>
      </c>
      <c r="AT47" s="827"/>
      <c r="AU47" s="827">
        <f ca="1">IFERROR(AR47-VLOOKUP(AI47,$AB$46:$AC$49,2,0),AR47)</f>
        <v>-22789500.219999999</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0</v>
      </c>
      <c r="BE47" s="835">
        <v>0</v>
      </c>
      <c r="BF47" s="835">
        <f t="array" aca="1" ref="BF47" ca="1">SUMIFS($K$44:$K$49,$I$44:$I$49,$AY47,$K$44:$K$49,"&lt;&gt;",$L$44:$L$49,"&lt;&gt;",$N$44:$N$49,BF45)+SUMIFS($L$44:$L$49,$I$44:$I$49,BF45,$K$44:$K$49,"&lt;&gt;",$L$44:$L$49,"&lt;&gt;",$N$44:$N$49,$AY47)</f>
        <v>1</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-1</v>
      </c>
      <c r="BK47" s="835">
        <v>0</v>
      </c>
      <c r="BL47" s="835">
        <f ca="1">BF47-BE48</f>
        <v>-1</v>
      </c>
      <c r="BM47" s="835">
        <f ca="1">BG47-BE49</f>
        <v>-3</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0</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4</v>
      </c>
      <c r="BV47" s="829" t="str">
        <f ca="1">A46</f>
        <v>Canadá</v>
      </c>
      <c r="BW47" s="829">
        <f t="shared" ca="1" si="8"/>
        <v>-22789500.219999999</v>
      </c>
      <c r="BX47" s="829" t="str">
        <f ca="1">VLOOKUP(Q47,$AH$46:$AI$49,2,0)</f>
        <v>Croacia</v>
      </c>
      <c r="BY47" s="829">
        <f ca="1">VLOOKUP($BX47,$AI$46:$AR$49,10,FALSE)</f>
        <v>5574210499.7600002</v>
      </c>
      <c r="CA47" s="829">
        <v>2</v>
      </c>
      <c r="CB47" s="829" t="str">
        <f ca="1">VLOOKUP(CA47,$AH$46:$AI$49,2,0)</f>
        <v>Croacia</v>
      </c>
      <c r="CC47" s="829">
        <f ca="1">VLOOKUP(CB47,$AI$46:$AR$49,2,FALSE)</f>
        <v>5</v>
      </c>
      <c r="CD47" s="836">
        <f ca="1">IF(SUM($AK$46:$AK$49)=12,MIN(ABS(BY46-BY47),ABS(BY47-BY48)),100)</f>
        <v>1133999999.9700003</v>
      </c>
      <c r="CE47" s="829">
        <f ca="1">VLOOKUP($CB47,$AI$46:$AR$49,9,FALSE)</f>
        <v>3</v>
      </c>
      <c r="CF47" s="829">
        <f ca="1">VLOOKUP($CB47,$AI$46:$AR$49,7,FALSE)</f>
        <v>4</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38"/>
      <c r="F48" s="417">
        <f>Horarios!C48</f>
        <v>44896.75</v>
      </c>
      <c r="G48" s="418">
        <f>Horarios!C48</f>
        <v>44896.75</v>
      </c>
      <c r="H48" s="417" t="s">
        <v>74</v>
      </c>
      <c r="I48" s="419" t="str">
        <f ca="1">A48</f>
        <v>Croacia</v>
      </c>
      <c r="J48" s="420" t="str">
        <f ca="1">VLOOKUP(I48,Equipos!$H$2:$I$33,2,0)</f>
        <v>🇭🇷</v>
      </c>
      <c r="K48" s="432">
        <v>0</v>
      </c>
      <c r="L48" s="432">
        <v>0</v>
      </c>
      <c r="M48" s="427" t="str">
        <f ca="1">VLOOKUP(N48,Equipos!$H$2:$I$33,2,0)</f>
        <v>🇧🇪</v>
      </c>
      <c r="N48" s="428" t="str">
        <f ca="1">A45</f>
        <v>Bélgica</v>
      </c>
      <c r="O48" s="385">
        <f t="shared" si="32"/>
        <v>1</v>
      </c>
      <c r="P48" s="88"/>
      <c r="Q48" s="403">
        <v>3</v>
      </c>
      <c r="R48" s="4" t="str">
        <f ca="1">VLOOKUP(Q48,$AG$46:$AI$49,3,0)</f>
        <v>Bélgica</v>
      </c>
      <c r="S48" s="3">
        <f ca="1">VLOOKUP(R48,$AI$46:$AR$49,2,FALSE)</f>
        <v>4</v>
      </c>
      <c r="T48" s="3">
        <f ca="1">VLOOKUP($R48,$AI$46:$AR$49,3,FALSE)</f>
        <v>3</v>
      </c>
      <c r="U48" s="3">
        <f ca="1">VLOOKUP($R48,$AI$46:$AR$49,4,FALSE)</f>
        <v>1</v>
      </c>
      <c r="V48" s="3">
        <f ca="1">VLOOKUP($R48,$AI$46:$AR$49,5,FALSE)</f>
        <v>1</v>
      </c>
      <c r="W48" s="3">
        <f ca="1">VLOOKUP($R48,$AI$46:$AR$49,6,FALSE)</f>
        <v>1</v>
      </c>
      <c r="X48" s="3">
        <f ca="1">VLOOKUP($R48,$AI$46:$AR$49,7,FALSE)</f>
        <v>1</v>
      </c>
      <c r="Y48" s="3">
        <f ca="1">VLOOKUP($R48,$AI$46:$AR$49,8,FALSE)</f>
        <v>2</v>
      </c>
      <c r="Z48" s="404">
        <f ca="1">VLOOKUP($R48,$AI$46:$AR$49,9,FALSE)</f>
        <v>-1</v>
      </c>
      <c r="AA48" s="395">
        <f ca="1">IF(SUM($AK$46:$AK$49)=12,MIN(ABS(BY47-BY48),ABS(BY48-BY49)),100)</f>
        <v>1133999999.9700003</v>
      </c>
      <c r="AB48" s="101" t="str">
        <f ca="1">IF(AND(AA48&gt;=0,AA48&lt;90),VLOOKUP(Q48,$BU$46:$BV$49,2,0),"")</f>
        <v/>
      </c>
      <c r="AC48" s="78"/>
      <c r="AD48" s="79"/>
      <c r="AE48" s="365"/>
      <c r="AF48" s="828">
        <f ca="1">VLOOKUP($R48,$AI$46:$AR$49,10,FALSE)</f>
        <v>4440210499.79</v>
      </c>
      <c r="AG48" s="827">
        <f ca="1">RANK(AU48,$AU$46:$AU$49)</f>
        <v>1</v>
      </c>
      <c r="AH48" s="827">
        <f ca="1">RANK(AR48,$AR$46:$AR$49)</f>
        <v>1</v>
      </c>
      <c r="AI48" s="829" t="str">
        <f ca="1">A47</f>
        <v>Marruecos</v>
      </c>
      <c r="AJ48" s="827">
        <f ca="1">AL48*3+AM48*1+AN48*0</f>
        <v>7</v>
      </c>
      <c r="AK48" s="827">
        <f ca="1">COUNTIFS($I$4:$I$65,AI48,$K$4:$K$65,"&lt;&gt;",$L$4:$L$65,"&lt;&gt;")+COUNTIFS($N$4:$N$65,AI48,$L$4:$L$65,"&lt;&gt;",$K$4:$K$65,"&lt;&gt;")</f>
        <v>3</v>
      </c>
      <c r="AL48" s="827">
        <f t="array" aca="1" ref="AL48" ca="1">SUM(($I$4:$I$65=AI48)*($K$4:$K$65&lt;&gt;"")*($L$4:$L$65&lt;&gt;"")*($K$4:$K$65&gt;$L$4:$L$65),($N$4:$N$65=AI48)*($K$4:$K$65&lt;&gt;"")*($L$4:$L$65&lt;&gt;"")*($K$4:$K$65&lt;$L$4:$L$65))</f>
        <v>2</v>
      </c>
      <c r="AM48" s="827">
        <f t="array" aca="1" ref="AM48" ca="1">SUM(($I$4:$I$65=AI48)*($K$4:$K$65&lt;&gt;"")*($L$4:$L$65&lt;&gt;"")*($K$4:$K$65=$L$4:$L$65),($N$4:$N$65=AI48)*($K$4:$K$65&lt;&gt;"")*($L$4:$L$65&lt;&gt;"")*($K$4:$K$65=$L$4:$L$65))</f>
        <v>1</v>
      </c>
      <c r="AN48" s="827">
        <f t="array" aca="1" ref="AN48" ca="1">SUM(($I$4:$I$65=AI48)*($L$4:$L$65&lt;&gt;"")*($K$4:$K$65&lt;&gt;"")*($K$4:$K$65&lt;$L$4:$L$65),($K$4:$K$65&lt;&gt;"")*($N$4:$N$65=AI48)*($L$4:$L$65&lt;&gt;"")*($K$4:$K$65&gt;$L$4:$L$65))</f>
        <v>0</v>
      </c>
      <c r="AO48" s="827">
        <f t="array" aca="1" ref="AO48" ca="1">SUMIFS($K$4:$K$65,$I$4:$I$65,AI48,$K$4:$K$65,"&lt;&gt;",$L$4:$L$65,"&lt;&gt;")+SUMIFS($L$4:$L$65,$N$4:$N$65,AI48,$K$4:$K$65,"&lt;&gt;",$L$4:$L$65,"&lt;&gt;")</f>
        <v>4</v>
      </c>
      <c r="AP48" s="827">
        <f t="array" aca="1" ref="AP48" ca="1">SUMIFS($K$4:$K$65,$N$4:$N$65,AI48,$K$4:$K$65,"&lt;&gt;",$L$4:$L$65,"&lt;&gt;")+SUMIFS($L$4:$L$65,$I$4:$I$65,AI48,$K$4:$K$65,"&lt;&gt;",$L$4:$L$65,"&lt;&gt;")</f>
        <v>1</v>
      </c>
      <c r="AQ48" s="827">
        <f ca="1">AO48-AP48</f>
        <v>3</v>
      </c>
      <c r="AR48" s="827">
        <f ca="1">IF(AK48=0,-($AW$11*VLOOKUP(AI48,Tabla3[[NombreEquipo]:[Rank]],3,FALSE)),AJ48*$AW$4+AQ48*$AW$5+AO48*$AW$6+BA48-($AW$11*VLOOKUP(AI48,Tabla3[[NombreEquipo]:[Rank]],3,FALSE)/100))</f>
        <v>7796210499.7700005</v>
      </c>
      <c r="AS48" s="827">
        <f ca="1">AH48</f>
        <v>1</v>
      </c>
      <c r="AT48" s="827"/>
      <c r="AU48" s="827">
        <f ca="1">IFERROR(AR48-VLOOKUP(AI48,$AB$46:$AC$49,2,0),AR48)</f>
        <v>7796210499.7700005</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2</v>
      </c>
      <c r="BE48" s="835">
        <f t="array" aca="1" ref="BE48" ca="1">SUMIFS($K$44:$K$49,$I$44:$I$49,$AY48,$K$44:$K$49,"&lt;&gt;",$L$44:$L$49,"&lt;&gt;",$N$44:$N$49,BE45)+SUMIFS($L$44:$L$49,$I$44:$I$49,BE45,$K$44:$K$49,"&lt;&gt;",$L$44:$L$49,"&lt;&gt;",$N$44:$N$49,$AY48)</f>
        <v>2</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2</v>
      </c>
      <c r="BK48" s="835">
        <f ca="1">BE48-BF47</f>
        <v>1</v>
      </c>
      <c r="BL48" s="835">
        <v>0</v>
      </c>
      <c r="BM48" s="835">
        <f ca="1">BG48-BF49</f>
        <v>0</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3</v>
      </c>
      <c r="BQ48" s="835">
        <f t="array" aca="1" ref="BQ48" ca="1">SUM((I$4:I$49=AY48)*(N$4:N$49=BQ45)*(K$4:K$49&lt;&gt;"")*(L$4:L$49&lt;&gt;"")*(K$4:K$49&gt;L$4:L$49)*3,(N$4:N$49=AY48)*(I$4:I$49=BQ45)*(K$4:K$49&lt;&gt;"")*(L$4:L$49&lt;&gt;"")*(K$4:K$49=L$4:L$49)*1,(N$4:N$49=AY48)*(I$4:I$49=BQ45)*(K$4:K$49&lt;&gt;"")*(L$4:L$49&lt;&gt;"")*(K$4:K$49&lt;L$4:L$49)*3,(I$4:I$49=AY48)*(N$4:N$49=BQ45)*(K$4:K$49&lt;&gt;"")*(L$4:L$49&lt;&gt;"")*(K$4:K$49=L$4:L$49)*1)</f>
        <v>3</v>
      </c>
      <c r="BR48" s="835">
        <v>0</v>
      </c>
      <c r="BS48" s="835">
        <f t="array" aca="1" ref="BS48" ca="1">SUM((I$4:I$49=AY48)*(N$4:N$49=BS45)*(K$4:K$49&lt;&gt;"")*(L$4:L$49&lt;&gt;"")*(K$4:K$49&gt;L$4:L$49)*3,(N$4:N$49=AY48)*(I$4:I$49=BS45)*(K$4:K$49&lt;&gt;"")*(L$4:L$49&lt;&gt;"")*(K$4:K$49=L$4:L$49)*1,(N$4:N$49=AY48)*(I$4:I$49=BS45)*(K$4:K$49&lt;&gt;"")*(L$4:L$49&lt;&gt;"")*(K$4:K$49&lt;L$4:L$49)*3,(I$4:I$49=AY48)*(N$4:N$49=BS45)*(K$4:K$49&lt;&gt;"")*(L$4:L$49&lt;&gt;"")*(K$4:K$49=L$4:L$49)*1)</f>
        <v>1</v>
      </c>
      <c r="BT48" s="829">
        <v>3</v>
      </c>
      <c r="BU48" s="829">
        <f ca="1">RANK(BW48,$BW$46:$BW$49)</f>
        <v>1</v>
      </c>
      <c r="BV48" s="829" t="str">
        <f ca="1">A47</f>
        <v>Marruecos</v>
      </c>
      <c r="BW48" s="829">
        <f t="shared" ca="1" si="8"/>
        <v>7796210499.7700005</v>
      </c>
      <c r="BX48" s="829" t="str">
        <f ca="1">VLOOKUP(Q48,$AH$46:$AI$49,2,0)</f>
        <v>Bélgica</v>
      </c>
      <c r="BY48" s="829">
        <f ca="1">VLOOKUP($BX48,$AI$46:$AR$49,10,FALSE)</f>
        <v>4440210499.79</v>
      </c>
      <c r="CA48" s="829">
        <v>3</v>
      </c>
      <c r="CB48" s="829" t="str">
        <f ca="1">VLOOKUP(CA48,$AH$46:$AI$49,2,0)</f>
        <v>Bélgica</v>
      </c>
      <c r="CC48" s="829">
        <f ca="1">VLOOKUP(CB48,$AI$46:$AR$49,2,FALSE)</f>
        <v>4</v>
      </c>
      <c r="CD48" s="836">
        <f ca="1">IF(SUM($AK$46:$AK$49)=12,MIN(ABS(BY47-BY48),ABS(BY48-BY49)),100)</f>
        <v>1133999999.9700003</v>
      </c>
      <c r="CE48" s="829">
        <f ca="1">VLOOKUP($CB48,$AI$46:$AR$49,9,FALSE)</f>
        <v>-1</v>
      </c>
      <c r="CF48" s="829">
        <f ca="1">VLOOKUP($CB48,$AI$46:$AR$49,7,FALSE)</f>
        <v>1</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75" thickBot="1">
      <c r="A49" s="810"/>
      <c r="B49" s="810"/>
      <c r="C49" s="810"/>
      <c r="D49" s="159"/>
      <c r="E49" s="939"/>
      <c r="F49" s="421">
        <f>Horarios!C49</f>
        <v>44896.75</v>
      </c>
      <c r="G49" s="422">
        <f>Horarios!C49</f>
        <v>44896.75</v>
      </c>
      <c r="H49" s="421" t="s">
        <v>74</v>
      </c>
      <c r="I49" s="423" t="str">
        <f ca="1">A46</f>
        <v>Canadá</v>
      </c>
      <c r="J49" s="424" t="str">
        <f ca="1">VLOOKUP(I49,Equipos!$H$2:$I$33,2,0)</f>
        <v>🇨🇦</v>
      </c>
      <c r="K49" s="433">
        <v>1</v>
      </c>
      <c r="L49" s="433">
        <v>2</v>
      </c>
      <c r="M49" s="429" t="str">
        <f ca="1">VLOOKUP(N49,Equipos!$H$2:$I$33,2,0)</f>
        <v>🇲🇦</v>
      </c>
      <c r="N49" s="430" t="str">
        <f ca="1">A47</f>
        <v>Marruecos</v>
      </c>
      <c r="O49" s="385">
        <f t="shared" si="32"/>
        <v>1</v>
      </c>
      <c r="P49" s="88"/>
      <c r="Q49" s="405">
        <v>4</v>
      </c>
      <c r="R49" s="406" t="str">
        <f ca="1">VLOOKUP(Q49,$AG$46:$AI$49,3,0)</f>
        <v>Canadá</v>
      </c>
      <c r="S49" s="407">
        <f ca="1">VLOOKUP(R49,$AI$46:$AR$49,2,FALSE)</f>
        <v>0</v>
      </c>
      <c r="T49" s="407">
        <f ca="1">VLOOKUP($R49,$AI$46:$AR$49,3,FALSE)</f>
        <v>3</v>
      </c>
      <c r="U49" s="407">
        <f ca="1">VLOOKUP($R49,$AI$46:$AR$49,4,FALSE)</f>
        <v>0</v>
      </c>
      <c r="V49" s="407">
        <f ca="1">VLOOKUP($R49,$AI$46:$AR$49,5,FALSE)</f>
        <v>0</v>
      </c>
      <c r="W49" s="407">
        <f ca="1">VLOOKUP($R49,$AI$46:$AR$49,6,FALSE)</f>
        <v>3</v>
      </c>
      <c r="X49" s="407">
        <f ca="1">VLOOKUP($R49,$AI$46:$AR$49,7,FALSE)</f>
        <v>2</v>
      </c>
      <c r="Y49" s="407">
        <f ca="1">VLOOKUP($R49,$AI$46:$AR$49,8,FALSE)</f>
        <v>7</v>
      </c>
      <c r="Z49" s="408">
        <f ca="1">VLOOKUP($R49,$AI$46:$AR$49,9,FALSE)</f>
        <v>-5</v>
      </c>
      <c r="AA49" s="395">
        <f ca="1">IF(SUM($AK$46:$AK$49)=12,MIN(ABS(BY48-BY49),ABS(BY49-BY50)),100)</f>
        <v>22789500.219999999</v>
      </c>
      <c r="AB49" s="101" t="str">
        <f ca="1">IF(AND(AA49&gt;=0,AA49&lt;90),VLOOKUP(Q49,$BU$46:$BV$49,2,0),"")</f>
        <v/>
      </c>
      <c r="AC49" s="78"/>
      <c r="AD49" s="79"/>
      <c r="AE49" s="365"/>
      <c r="AF49" s="828">
        <f ca="1">VLOOKUP($R49,$AI$46:$AR$49,10,FALSE)</f>
        <v>-22789500.219999999</v>
      </c>
      <c r="AG49" s="827">
        <f ca="1">RANK(AU49,$AU$46:$AU$49)</f>
        <v>2</v>
      </c>
      <c r="AH49" s="827">
        <f ca="1">RANK(AR49,$AR$46:$AR$49)</f>
        <v>2</v>
      </c>
      <c r="AI49" s="829" t="str">
        <f ca="1">A48</f>
        <v>Croacia</v>
      </c>
      <c r="AJ49" s="827">
        <f ca="1">AL49*3+AM49*1+AN49*0</f>
        <v>5</v>
      </c>
      <c r="AK49" s="827">
        <f ca="1">COUNTIFS($I$4:$I$65,AI49,$K$4:$K$65,"&lt;&gt;",$L$4:$L$65,"&lt;&gt;")+COUNTIFS($N$4:$N$65,AI49,$L$4:$L$65,"&lt;&gt;",$K$4:$K$65,"&lt;&gt;")</f>
        <v>3</v>
      </c>
      <c r="AL49" s="827">
        <f t="array" aca="1" ref="AL49" ca="1">SUM(($I$4:$I$65=AI49)*($K$4:$K$65&lt;&gt;"")*($L$4:$L$65&lt;&gt;"")*($K$4:$K$65&gt;$L$4:$L$65),($N$4:$N$65=AI49)*($K$4:$K$65&lt;&gt;"")*($L$4:$L$65&lt;&gt;"")*($K$4:$K$65&lt;$L$4:$L$65))</f>
        <v>1</v>
      </c>
      <c r="AM49" s="827">
        <f t="array" aca="1" ref="AM49" ca="1">SUM(($I$4:$I$65=AI49)*($K$4:$K$65&lt;&gt;"")*($L$4:$L$65&lt;&gt;"")*($K$4:$K$65=$L$4:$L$65),($N$4:$N$65=AI49)*($K$4:$K$65&lt;&gt;"")*($L$4:$L$65&lt;&gt;"")*($K$4:$K$65=$L$4:$L$65))</f>
        <v>2</v>
      </c>
      <c r="AN49" s="827">
        <f t="array" aca="1" ref="AN49" ca="1">SUM(($I$4:$I$65=AI49)*($L$4:$L$65&lt;&gt;"")*($K$4:$K$65&lt;&gt;"")*($K$4:$K$65&lt;$L$4:$L$65),($K$4:$K$65&lt;&gt;"")*($N$4:$N$65=AI49)*($L$4:$L$65&lt;&gt;"")*($K$4:$K$65&gt;$L$4:$L$65))</f>
        <v>0</v>
      </c>
      <c r="AO49" s="827">
        <f t="array" aca="1" ref="AO49" ca="1">SUMIFS($K$4:$K$65,$I$4:$I$65,AI49,$K$4:$K$65,"&lt;&gt;",$L$4:$L$65,"&lt;&gt;")+SUMIFS($L$4:$L$65,$N$4:$N$65,AI49,$K$4:$K$65,"&lt;&gt;",$L$4:$L$65,"&lt;&gt;")</f>
        <v>4</v>
      </c>
      <c r="AP49" s="827">
        <f t="array" aca="1" ref="AP49" ca="1">SUMIFS($K$4:$K$65,$N$4:$N$65,AI49,$K$4:$K$65,"&lt;&gt;",$L$4:$L$65,"&lt;&gt;")+SUMIFS($L$4:$L$65,$I$4:$I$65,AI49,$K$4:$K$65,"&lt;&gt;",$L$4:$L$65,"&lt;&gt;")</f>
        <v>1</v>
      </c>
      <c r="AQ49" s="827">
        <f ca="1">AO49-AP49</f>
        <v>3</v>
      </c>
      <c r="AR49" s="827">
        <f ca="1">IF(AK49=0,-($AW$11*VLOOKUP(AI49,Tabla3[[NombreEquipo]:[Rank]],3,FALSE)),AJ49*$AW$4+AQ49*$AW$5+AO49*$AW$6+BA49-($AW$11*VLOOKUP(AI49,Tabla3[[NombreEquipo]:[Rank]],3,FALSE)/100))</f>
        <v>5574210499.7600002</v>
      </c>
      <c r="AS49" s="827">
        <f ca="1">AH49</f>
        <v>2</v>
      </c>
      <c r="AT49" s="827"/>
      <c r="AU49" s="827">
        <f ca="1">IFERROR(AR49-VLOOKUP(AI49,$AB$46:$AC$49,2,0),AR49)</f>
        <v>5574210499.7600002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0</v>
      </c>
      <c r="BE49" s="835">
        <f t="array" aca="1" ref="BE49" ca="1">SUMIFS($K$44:$K$49,$I$44:$I$49,$AY49,$K$44:$K$49,"&lt;&gt;",$L$44:$L$49,"&lt;&gt;",$N$44:$N$49,BE45)+SUMIFS($L$44:$L$49,$I$44:$I$49,BE45,$K$44:$K$49,"&lt;&gt;",$L$44:$L$49,"&lt;&gt;",$N$44:$N$49,$AY49)</f>
        <v>4</v>
      </c>
      <c r="BF49" s="835">
        <f t="array" aca="1" ref="BF49" ca="1">SUMIFS($K$44:$K$49,$I$44:$I$49,$AY49,$K$44:$K$49,"&lt;&gt;",$L$44:$L$49,"&lt;&gt;",$N$44:$N$49,BF45)+SUMIFS($L$44:$L$49,$I$44:$I$49,BF45,$K$44:$K$49,"&lt;&gt;",$L$44:$L$49,"&lt;&gt;",$N$44:$N$49,$AY49)</f>
        <v>0</v>
      </c>
      <c r="BG49" s="835">
        <v>0</v>
      </c>
      <c r="BH49" s="835">
        <f ca="1">RANK(BI49,BI46:BI49,1)</f>
        <v>1</v>
      </c>
      <c r="BI49" s="835">
        <f ca="1">SUM(IF(AND(AJ49=AJ46,AQ49=AQ46,AO49=AO46),BJ49,0),IF(AND(AJ49=AJ47,AQ49=AQ47,AO49=AO47),BK49,0),IF(AND(AJ49=AJ48,AQ49=AQ48,AO49=AO48),BL49,0))</f>
        <v>0</v>
      </c>
      <c r="BJ49" s="835">
        <f ca="1">BD49-BG46</f>
        <v>0</v>
      </c>
      <c r="BK49" s="835">
        <f ca="1">BE49-BG47</f>
        <v>3</v>
      </c>
      <c r="BL49" s="835">
        <f ca="1">BF49-BG48</f>
        <v>0</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1</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1</v>
      </c>
      <c r="BS49" s="835">
        <v>0</v>
      </c>
      <c r="BT49" s="829">
        <v>4</v>
      </c>
      <c r="BU49" s="829">
        <f ca="1">RANK(BW49,$BW$46:$BW$49)</f>
        <v>2</v>
      </c>
      <c r="BV49" s="829" t="str">
        <f ca="1">A48</f>
        <v>Croacia</v>
      </c>
      <c r="BW49" s="829">
        <f t="shared" ca="1" si="8"/>
        <v>5574210499.7600002</v>
      </c>
      <c r="BX49" s="829" t="str">
        <f ca="1">VLOOKUP(Q49,$AH$46:$AI$49,2,0)</f>
        <v>Canadá</v>
      </c>
      <c r="BY49" s="829">
        <f ca="1">VLOOKUP($BX49,$AI$46:$AR$49,10,FALSE)</f>
        <v>-22789500.219999999</v>
      </c>
      <c r="CA49" s="829">
        <v>4</v>
      </c>
      <c r="CB49" s="829" t="str">
        <f ca="1">VLOOKUP(CA49,$AH$46:$AI$49,2,0)</f>
        <v>Canadá</v>
      </c>
      <c r="CC49" s="829">
        <f ca="1">VLOOKUP(CB49,$AI$46:$AR$49,2,FALSE)</f>
        <v>0</v>
      </c>
      <c r="CD49" s="836">
        <f ca="1">IF(SUM($AK$46:$AK$49)=12,MIN(ABS(BY48-BY49),ABS(BY49-BY50)),100)</f>
        <v>22789500.219999999</v>
      </c>
      <c r="CE49" s="829">
        <f ca="1">VLOOKUP($CB49,$AI$46:$AR$49,9,FALSE)</f>
        <v>-5</v>
      </c>
      <c r="CF49" s="829">
        <f ca="1">VLOOKUP($CB49,$AI$46:$AR$49,7,FALSE)</f>
        <v>2</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934" t="s">
        <v>7</v>
      </c>
      <c r="F52" s="265">
        <f>Horarios!C52</f>
        <v>44889.541666666664</v>
      </c>
      <c r="G52" s="266">
        <f>Horarios!C52</f>
        <v>44889.541666666664</v>
      </c>
      <c r="H52" s="265" t="s">
        <v>72</v>
      </c>
      <c r="I52" s="267" t="str">
        <f ca="1">A55</f>
        <v>Suiza</v>
      </c>
      <c r="J52" s="268" t="str">
        <f ca="1">VLOOKUP(I52,Equipos!$H$2:$I$33,2,0)</f>
        <v>🇨🇭</v>
      </c>
      <c r="K52" s="269">
        <v>1</v>
      </c>
      <c r="L52" s="269">
        <v>0</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4" t="s">
        <v>67</v>
      </c>
      <c r="AC52" s="874"/>
      <c r="AD52" s="874"/>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1</v>
      </c>
      <c r="CR52" s="827">
        <f t="shared" ca="1" si="38"/>
        <v>0</v>
      </c>
      <c r="CS52" s="827">
        <f t="shared" ca="1" si="38"/>
        <v>2</v>
      </c>
      <c r="CT52" s="827">
        <f t="shared" ca="1" si="38"/>
        <v>0</v>
      </c>
      <c r="CU52" s="827">
        <f t="shared" ca="1" si="38"/>
        <v>0</v>
      </c>
      <c r="CV52" s="827">
        <f t="shared" ca="1" si="38"/>
        <v>0</v>
      </c>
      <c r="CW52" s="827">
        <f t="shared" ca="1" si="38"/>
        <v>0</v>
      </c>
      <c r="CX52" s="827">
        <f t="shared" ca="1" si="38"/>
        <v>0</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75" thickBot="1">
      <c r="A53" s="812" t="str" cm="1">
        <f t="array" aca="1" ref="A53" ca="1">IF(ROWS(A$53:A53)&lt;=$C$52,INDEX(INDIRECT(A$52),SMALL(IF(Nivell=$B$52,ROW(Nivell)-ROW(Equipos!$C$2)+1),ROWS(B$52:B52))),"")</f>
        <v>Brasil</v>
      </c>
      <c r="B53" s="813"/>
      <c r="C53" s="813"/>
      <c r="D53" s="159"/>
      <c r="E53" s="935"/>
      <c r="F53" s="260">
        <f>Horarios!C53</f>
        <v>44889.916666666664</v>
      </c>
      <c r="G53" s="261">
        <f>Horarios!C53</f>
        <v>44889.916666666664</v>
      </c>
      <c r="H53" s="260" t="s">
        <v>72</v>
      </c>
      <c r="I53" s="262" t="str">
        <f ca="1">A53</f>
        <v>Brasil</v>
      </c>
      <c r="J53" s="263" t="str">
        <f ca="1">VLOOKUP(I53,Equipos!$H$2:$I$33,2,0)</f>
        <v>🇧🇷</v>
      </c>
      <c r="K53" s="264">
        <v>2</v>
      </c>
      <c r="L53" s="264">
        <v>0</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874"/>
      <c r="AC53" s="874"/>
      <c r="AD53" s="874"/>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5"/>
      <c r="F54" s="260">
        <f>Horarios!C54</f>
        <v>44893.541666666664</v>
      </c>
      <c r="G54" s="261">
        <f>Horarios!C54</f>
        <v>44893.541666666664</v>
      </c>
      <c r="H54" s="260" t="s">
        <v>73</v>
      </c>
      <c r="I54" s="262" t="str">
        <f ca="1">A56</f>
        <v>Camerún</v>
      </c>
      <c r="J54" s="263" t="str">
        <f ca="1">VLOOKUP(I54,Equipos!$H$2:$I$33,2,0)</f>
        <v>🇨🇲</v>
      </c>
      <c r="K54" s="264">
        <v>3</v>
      </c>
      <c r="L54" s="264">
        <v>3</v>
      </c>
      <c r="M54" s="382" t="str">
        <f ca="1">VLOOKUP(N54,Equipos!$H$2:$I$33,2,0)</f>
        <v>🇷🇸</v>
      </c>
      <c r="N54" s="271" t="str">
        <f ca="1">A54</f>
        <v>Serbia</v>
      </c>
      <c r="O54" s="385">
        <f t="shared" si="39"/>
        <v>1</v>
      </c>
      <c r="P54" s="88"/>
      <c r="Q54" s="322">
        <v>1</v>
      </c>
      <c r="R54" s="323" t="str">
        <f ca="1">VLOOKUP(Q54,$AG$54:$AI$57,3,0)</f>
        <v>Brasil</v>
      </c>
      <c r="S54" s="324">
        <f ca="1">VLOOKUP(R54,$AI$54:$AR$57,2,FALSE)</f>
        <v>6</v>
      </c>
      <c r="T54" s="324">
        <f ca="1">VLOOKUP($R54,$AI$54:$AR$57,3,FALSE)</f>
        <v>3</v>
      </c>
      <c r="U54" s="324">
        <f ca="1">VLOOKUP($R54,$AI$54:$AR$57,4,FALSE)</f>
        <v>2</v>
      </c>
      <c r="V54" s="324">
        <f ca="1">VLOOKUP($R54,$AI$54:$AR$57,5,FALSE)</f>
        <v>0</v>
      </c>
      <c r="W54" s="324">
        <f ca="1">VLOOKUP($R54,$AI$54:$AR$57,6,FALSE)</f>
        <v>1</v>
      </c>
      <c r="X54" s="324">
        <f ca="1">VLOOKUP($R54,$AI$54:$AR$57,7,FALSE)</f>
        <v>3</v>
      </c>
      <c r="Y54" s="324">
        <f ca="1">VLOOKUP($R54,$AI$54:$AR$57,8,FALSE)</f>
        <v>1</v>
      </c>
      <c r="Z54" s="325">
        <f ca="1">VLOOKUP($R54,$AI$54:$AR$57,9,FALSE)</f>
        <v>2</v>
      </c>
      <c r="AA54" s="395">
        <f ca="1">IF(SUM($AK$54:$AK$57)=12,MIN(ABS(BY53-BY54),ABS(BY54-BY55)),100)</f>
        <v>4000000.0200004578</v>
      </c>
      <c r="AB54" s="101" t="str">
        <f ca="1">IF(AND(AA54&gt;=0,AA54&lt;90),VLOOKUP(Q54,$BU$54:$BV$57,2,0),"")</f>
        <v/>
      </c>
      <c r="AC54" s="78"/>
      <c r="AD54" s="79"/>
      <c r="AE54" s="365"/>
      <c r="AF54" s="828">
        <f ca="1">VLOOKUP($R54,$AI$54:$AR$57,10,FALSE)</f>
        <v>6679210499.75</v>
      </c>
      <c r="AG54" s="827">
        <f ca="1">RANK(AU54,$AU$54:$AU$57)</f>
        <v>1</v>
      </c>
      <c r="AH54" s="827">
        <f ca="1">RANK(AR54,$AR$54:$AR$57)</f>
        <v>1</v>
      </c>
      <c r="AI54" s="829" t="str">
        <f ca="1">A53</f>
        <v>Brasil</v>
      </c>
      <c r="AJ54" s="827">
        <f ca="1">AL54*3+AM54*1+AN54*0</f>
        <v>6</v>
      </c>
      <c r="AK54" s="827">
        <f ca="1">COUNTIFS($I$4:$I$65,AI54,$K$4:$K$65,"&lt;&gt;",$L$4:$L$65,"&lt;&gt;")+COUNTIFS($N$4:$N$65,AI54,$L$4:$L$65,"&lt;&gt;",$K$4:$K$65,"&lt;&gt;")</f>
        <v>3</v>
      </c>
      <c r="AL54" s="827">
        <f t="array" aca="1" ref="AL54" ca="1">SUM(($I$4:$I$65=AI54)*($K$4:$K$65&lt;&gt;"")*($L$4:$L$65&lt;&gt;"")*($K$4:$K$65&gt;$L$4:$L$65),($N$4:$N$65=AI54)*($K$4:$K$65&lt;&gt;"")*($L$4:$L$65&lt;&gt;"")*($K$4:$K$65&lt;$L$4:$L$65))</f>
        <v>2</v>
      </c>
      <c r="AM54" s="827">
        <f t="array" aca="1" ref="AM54" ca="1">SUM(($I$4:$I$65=AI54)*($K$4:$K$65&lt;&gt;"")*($L$4:$L$65&lt;&gt;"")*($K$4:$K$65=$L$4:$L$65),($N$4:$N$65=AI54)*($K$4:$K$65&lt;&gt;"")*($L$4:$L$65&lt;&gt;"")*($K$4:$K$65=$L$4:$L$65))</f>
        <v>0</v>
      </c>
      <c r="AN54" s="827">
        <f t="array" aca="1" ref="AN54" ca="1">SUM(($I$4:$I$65=AI54)*($L$4:$L$65&lt;&gt;"")*($K$4:$K$65&lt;&gt;"")*($K$4:$K$65&lt;$L$4:$L$65),($K$4:$K$65&lt;&gt;"")*($N$4:$N$65=AI54)*($L$4:$L$65&lt;&gt;"")*($K$4:$K$65&gt;$L$4:$L$65))</f>
        <v>1</v>
      </c>
      <c r="AO54" s="827">
        <f t="array" aca="1" ref="AO54" ca="1">SUMIFS($K$4:$K$65,$I$4:$I$65,AI54,$K$4:$K$65,"&lt;&gt;",$L$4:$L$65,"&lt;&gt;")+SUMIFS($L$4:$L$65,$N$4:$N$65,AI54,$K$4:$K$65,"&lt;&gt;",$L$4:$L$65,"&lt;&gt;")</f>
        <v>3</v>
      </c>
      <c r="AP54" s="827">
        <f t="array" aca="1" ref="AP54" ca="1">SUMIFS($K$4:$K$65,$N$4:$N$65,AI54,$K$4:$K$65,"&lt;&gt;",$L$4:$L$65,"&lt;&gt;")+SUMIFS($L$4:$L$65,$I$4:$I$65,AI54,$K$4:$K$65,"&lt;&gt;",$L$4:$L$65,"&lt;&gt;")</f>
        <v>1</v>
      </c>
      <c r="AQ54" s="827">
        <f ca="1">AO54-AP54</f>
        <v>2</v>
      </c>
      <c r="AR54" s="827">
        <f ca="1">IF(AK54=0,-($AW$11*VLOOKUP(AI54,Tabla3[[NombreEquipo]:[Rank]],3,FALSE)),AJ54*$AW$4+AQ54*$AW$5+AO54*$AW$6+BA54-($AW$11*VLOOKUP(AI54,Tabla3[[NombreEquipo]:[Rank]],3,FALSE)/100))</f>
        <v>6679210499.75</v>
      </c>
      <c r="AS54" s="827">
        <f ca="1">AH54</f>
        <v>1</v>
      </c>
      <c r="AT54" s="827"/>
      <c r="AU54" s="827">
        <f ca="1">IFERROR(AR54-VLOOKUP(AI54,$AB$54:$AC$57,2,0),AR54)</f>
        <v>6679210499.75</v>
      </c>
      <c r="AV54" s="827"/>
      <c r="AW54" s="830"/>
      <c r="AX54" s="827"/>
      <c r="AY54" s="834" t="str">
        <f ca="1">AI54</f>
        <v>Brasil</v>
      </c>
      <c r="AZ54" s="827">
        <f ca="1">COUNTIF(AJ54:AJ57,AJ54)</f>
        <v>2</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2</v>
      </c>
      <c r="BF54" s="835">
        <f t="array" aca="1" ref="BF54" ca="1">SUMIFS($K$52:$K$57,$I$52:$I$57,$AY54,$K$52:$K$57,"&lt;&gt;",$L$52:$L$57,"&lt;&gt;",$N$52:$N$57,BF53)+SUMIFS($L$52:$L$57,$I$52:$I$57,BF53,$K$52:$K$57,"&lt;&gt;",$L$52:$L$57,"&lt;&gt;",$N$52:$N$57,$AY54)</f>
        <v>1</v>
      </c>
      <c r="BG54" s="835">
        <f t="array" aca="1" ref="BG54" ca="1">SUMIFS($K$52:$K$57,$I$52:$I$57,$AY54,$K$52:$K$57,"&lt;&gt;",$L$52:$L$57,"&lt;&gt;",$N$52:$N$57,BG53)+SUMIFS($L$52:$L$57,$I$52:$I$57,BG53,$K$52:$K$57,"&lt;&gt;",$L$52:$L$57,"&lt;&gt;",$N$52:$N$57,$AY54)</f>
        <v>0</v>
      </c>
      <c r="BH54" s="835">
        <f ca="1">RANK(BI54,BI54:BI57,1)</f>
        <v>1</v>
      </c>
      <c r="BI54" s="835">
        <f ca="1">SUM(IF(AND(AJ54=AJ55,AQ54=AQ55,AO54=AO55),BK54,0),IF(AND(AJ54=AJ56,AQ54=AQ56,AO54=AO56),BL54,0),IF(AND(AJ54=AJ57,AQ54=AQ57,AO54=AO57),BM54,0))</f>
        <v>0</v>
      </c>
      <c r="BJ54" s="835">
        <v>0</v>
      </c>
      <c r="BK54" s="835">
        <f ca="1">BE54-BD55</f>
        <v>2</v>
      </c>
      <c r="BL54" s="835">
        <f ca="1">BF54-BD56</f>
        <v>1</v>
      </c>
      <c r="BM54" s="835">
        <f ca="1">BG54-BD57</f>
        <v>-1</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0</v>
      </c>
      <c r="BT54" s="829">
        <v>1</v>
      </c>
      <c r="BU54" s="829">
        <f ca="1">RANK(BW54,$BW$54:$BW$57)</f>
        <v>1</v>
      </c>
      <c r="BV54" s="829" t="str">
        <f ca="1">A53</f>
        <v>Brasil</v>
      </c>
      <c r="BW54" s="829">
        <f t="shared" ref="BW54" ca="1" si="41">AR54</f>
        <v>6679210499.75</v>
      </c>
      <c r="BX54" s="829" t="str">
        <f ca="1">VLOOKUP(Q54,$AH$54:$AI$57,2,0)</f>
        <v>Brasil</v>
      </c>
      <c r="BY54" s="829">
        <f ca="1">VLOOKUP($BX54,$AI$54:$AR$57,10,FALSE)</f>
        <v>6679210499.75</v>
      </c>
      <c r="CA54" s="829">
        <v>1</v>
      </c>
      <c r="CB54" s="829" t="str">
        <f ca="1">VLOOKUP(CA54,$AH$54:$AI$57,2,0)</f>
        <v>Brasil</v>
      </c>
      <c r="CC54" s="829">
        <f ca="1">VLOOKUP(CB54,$AI$54:$AR$57,2,FALSE)</f>
        <v>6</v>
      </c>
      <c r="CD54" s="836">
        <f ca="1">IF(SUM($AK$54:$AK$57)=12,MIN(ABS(BY53-BY54),ABS(BY54-BY55)),100)</f>
        <v>4000000.0200004578</v>
      </c>
      <c r="CE54" s="829">
        <f ca="1">VLOOKUP($CB54,$AI$54:$AR$57,9,FALSE)</f>
        <v>2</v>
      </c>
      <c r="CF54" s="829">
        <f ca="1">VLOOKUP($CB54,$AI$54:$AR$57,7,FALSE)</f>
        <v>3</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0</v>
      </c>
      <c r="CR54" s="827">
        <f t="array" aca="1" ref="CR54" ca="1">IF(AND($CC$54&lt;&gt;$CC$55,$CC$54&lt;&gt;$CC$57),1,0)</f>
        <v>0</v>
      </c>
      <c r="CS54" s="827">
        <f t="array" aca="1" ref="CS54" ca="1">IF(AND($CC$54&lt;&gt;$CC$55,$CC$54&lt;&gt;$CC$57),1,0)</f>
        <v>0</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0</v>
      </c>
      <c r="CX54" s="827">
        <f t="array" aca="1" ref="CX54" ca="1">IF(AND($CC$54&lt;&gt;$CC$55,$CC$54&lt;&gt;$CC$56),1,0)</f>
        <v>0</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5.95" customHeight="1">
      <c r="A55" s="812" t="str" cm="1">
        <f t="array" aca="1" ref="A55" ca="1">IF(ROWS(A$53:A55)&lt;=$C$52,INDEX(INDIRECT(A$52),SMALL(IF(Nivell=$B$52,ROW(Nivell)-ROW(Equipos!$C$2)+1),ROWS(B$52:B54))),"")</f>
        <v>Suiza</v>
      </c>
      <c r="B55" s="813"/>
      <c r="C55" s="816"/>
      <c r="D55" s="159"/>
      <c r="E55" s="935"/>
      <c r="F55" s="260">
        <f>Horarios!C55</f>
        <v>44893.791666666664</v>
      </c>
      <c r="G55" s="261">
        <f>Horarios!C55</f>
        <v>44893.791666666664</v>
      </c>
      <c r="H55" s="260" t="s">
        <v>73</v>
      </c>
      <c r="I55" s="262" t="str">
        <f ca="1">A53</f>
        <v>Brasil</v>
      </c>
      <c r="J55" s="263" t="str">
        <f ca="1">VLOOKUP(I55,Equipos!$H$2:$I$33,2,0)</f>
        <v>🇧🇷</v>
      </c>
      <c r="K55" s="264">
        <v>1</v>
      </c>
      <c r="L55" s="264">
        <v>0</v>
      </c>
      <c r="M55" s="382" t="str">
        <f ca="1">VLOOKUP(N55,Equipos!$H$2:$I$33,2,0)</f>
        <v>🇨🇭</v>
      </c>
      <c r="N55" s="271" t="str">
        <f ca="1">A55</f>
        <v>Suiza</v>
      </c>
      <c r="O55" s="385">
        <f t="shared" si="39"/>
        <v>1</v>
      </c>
      <c r="P55" s="88"/>
      <c r="Q55" s="315">
        <v>2</v>
      </c>
      <c r="R55" s="4" t="str">
        <f ca="1">VLOOKUP(Q55,$AG$54:$AI$57,3,0)</f>
        <v>Suiza</v>
      </c>
      <c r="S55" s="3">
        <f ca="1">VLOOKUP(R55,$AI$54:$AR$57,2,FALSE)</f>
        <v>6</v>
      </c>
      <c r="T55" s="3">
        <f ca="1">VLOOKUP($R55,$AI$54:$AR$57,3,FALSE)</f>
        <v>3</v>
      </c>
      <c r="U55" s="3">
        <f ca="1">VLOOKUP($R55,$AI$54:$AR$57,4,FALSE)</f>
        <v>2</v>
      </c>
      <c r="V55" s="3">
        <f ca="1">VLOOKUP($R55,$AI$54:$AR$57,5,FALSE)</f>
        <v>0</v>
      </c>
      <c r="W55" s="3">
        <f ca="1">VLOOKUP($R55,$AI$54:$AR$57,6,FALSE)</f>
        <v>1</v>
      </c>
      <c r="X55" s="3">
        <f ca="1">VLOOKUP($R55,$AI$54:$AR$57,7,FALSE)</f>
        <v>4</v>
      </c>
      <c r="Y55" s="3">
        <f ca="1">VLOOKUP($R55,$AI$54:$AR$57,8,FALSE)</f>
        <v>3</v>
      </c>
      <c r="Z55" s="316">
        <f ca="1">VLOOKUP($R55,$AI$54:$AR$57,9,FALSE)</f>
        <v>1</v>
      </c>
      <c r="AA55" s="395">
        <f ca="1">IF(SUM($AK$54:$AK$57)=12,MIN(ABS(BY54-BY55),ABS(BY55-BY56)),100)</f>
        <v>4000000.0200004578</v>
      </c>
      <c r="AB55" s="101" t="str">
        <f ca="1">IF(AND(AA55&gt;=0,AA55&lt;90),VLOOKUP(Q55,$BU$54:$BV$57,2,0),"")</f>
        <v/>
      </c>
      <c r="AC55" s="78"/>
      <c r="AD55" s="79"/>
      <c r="AE55" s="365"/>
      <c r="AF55" s="828">
        <f ca="1">VLOOKUP($R55,$AI$54:$AR$57,10,FALSE)</f>
        <v>6675210499.7299995</v>
      </c>
      <c r="AG55" s="827">
        <f ca="1">RANK(AU55,$AU$54:$AU$57)</f>
        <v>4</v>
      </c>
      <c r="AH55" s="827">
        <f ca="1">RANK(AR55,$AR$54:$AR$57)</f>
        <v>4</v>
      </c>
      <c r="AI55" s="829" t="str">
        <f ca="1">A54</f>
        <v>Serbia</v>
      </c>
      <c r="AJ55" s="827">
        <f ca="1">AL55*3+AM55*1+AN55*0</f>
        <v>1</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1</v>
      </c>
      <c r="AN55" s="827">
        <f t="array" aca="1" ref="AN55" ca="1">SUM(($I$4:$I$65=AI55)*($L$4:$L$65&lt;&gt;"")*($K$4:$K$65&lt;&gt;"")*($K$4:$K$65&lt;$L$4:$L$65),($K$4:$K$65&lt;&gt;"")*($N$4:$N$65=AI55)*($L$4:$L$65&lt;&gt;"")*($K$4:$K$65&gt;$L$4:$L$65))</f>
        <v>2</v>
      </c>
      <c r="AO55" s="827">
        <f t="array" aca="1" ref="AO55" ca="1">SUMIFS($K$4:$K$65,$I$4:$I$65,AI55,$K$4:$K$65,"&lt;&gt;",$L$4:$L$65,"&lt;&gt;")+SUMIFS($L$4:$L$65,$N$4:$N$65,AI55,$K$4:$K$65,"&lt;&gt;",$L$4:$L$65,"&lt;&gt;")</f>
        <v>5</v>
      </c>
      <c r="AP55" s="827">
        <f t="array" aca="1" ref="AP55" ca="1">SUMIFS($K$4:$K$65,$N$4:$N$65,AI55,$K$4:$K$65,"&lt;&gt;",$L$4:$L$65,"&lt;&gt;")+SUMIFS($L$4:$L$65,$I$4:$I$65,AI55,$K$4:$K$65,"&lt;&gt;",$L$4:$L$65,"&lt;&gt;")</f>
        <v>8</v>
      </c>
      <c r="AQ55" s="827">
        <f ca="1">AO55-AP55</f>
        <v>-3</v>
      </c>
      <c r="AR55" s="827">
        <f ca="1">IF(AK55=0,-($AW$11*VLOOKUP(AI55,Tabla3[[NombreEquipo]:[Rank]],3,FALSE)),AJ55*$AW$4+AQ55*$AW$5+AO55*$AW$6+BA55-($AW$11*VLOOKUP(AI55,Tabla3[[NombreEquipo]:[Rank]],3,FALSE)/100))</f>
        <v>1101210499.74</v>
      </c>
      <c r="AS55" s="827">
        <f ca="1">AH55</f>
        <v>4</v>
      </c>
      <c r="AT55" s="827"/>
      <c r="AU55" s="827">
        <f ca="1">IFERROR(AR55-VLOOKUP(AI55,$AB$54:$AC$57,2,0),AR55)</f>
        <v>1101210499.74</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0</v>
      </c>
      <c r="BE55" s="835">
        <v>0</v>
      </c>
      <c r="BF55" s="835">
        <f t="array" aca="1" ref="BF55" ca="1">SUMIFS($K$52:$K$57,$I$52:$I$57,$AY55,$K$52:$K$57,"&lt;&gt;",$L$52:$L$57,"&lt;&gt;",$N$52:$N$57,BF53)+SUMIFS($L$52:$L$57,$I$52:$I$57,BF53,$K$52:$K$57,"&lt;&gt;",$L$52:$L$57,"&lt;&gt;",$N$52:$N$57,$AY55)</f>
        <v>2</v>
      </c>
      <c r="BG55" s="835">
        <f t="array" aca="1" ref="BG55" ca="1">SUMIFS($K$52:$K$57,$I$52:$I$57,$AY55,$K$52:$K$57,"&lt;&gt;",$L$52:$L$57,"&lt;&gt;",$N$52:$N$57,BG53)+SUMIFS($L$52:$L$57,$I$52:$I$57,BG53,$K$52:$K$57,"&lt;&gt;",$L$52:$L$57,"&lt;&gt;",$N$52:$N$57,$AY55)</f>
        <v>3</v>
      </c>
      <c r="BH55" s="835">
        <f ca="1">RANK(BI55,BI54:BI57,1)</f>
        <v>1</v>
      </c>
      <c r="BI55" s="835">
        <f ca="1">SUM(IF(AND(AJ55=AJ56,AQ55=AQ56,AO55=AO56),BL55,0),IF(AND(AJ55=AJ57,AQ55=AQ57,AO55=AO57),BM55,0),IF(AND(AJ55=AJ54,AQ55=AQ54,AO55=AO54),BJ55,0))</f>
        <v>0</v>
      </c>
      <c r="BJ55" s="835">
        <f ca="1">BD55-BE54</f>
        <v>-2</v>
      </c>
      <c r="BK55" s="835">
        <v>0</v>
      </c>
      <c r="BL55" s="835">
        <f ca="1">BF55-BE56</f>
        <v>-1</v>
      </c>
      <c r="BM55" s="835">
        <f ca="1">BG55-BE57</f>
        <v>0</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0</v>
      </c>
      <c r="BS55" s="835">
        <f t="array" aca="1" ref="BS55" ca="1">SUM((I$4:I$57=AY55)*(N$4:N$57=BS53)*(K$4:K$57&lt;&gt;"")*(L$4:L$57&lt;&gt;"")*(K$4:K$57&gt;L$4:L$57)*3,(N$4:N$57=AY55)*(I$4:I$57=BS53)*(K$4:K$57&lt;&gt;"")*(L$4:L$57&lt;&gt;"")*(K$4:K$57=L$4:L$57)*1,(N$4:N$57=AY55)*(I$4:I$57=BS53)*(K$4:K$57&lt;&gt;"")*(L$4:L$57&lt;&gt;"")*(K$4:K$57&lt;L$4:L$57)*3,(I$4:I$57=AY55)*(N$4:N$57=BS53)*(K$4:K$57&lt;&gt;"")*(L$4:L$57&lt;&gt;"")*(K$4:K$57=L$4:L$57)*1)</f>
        <v>1</v>
      </c>
      <c r="BT55" s="829">
        <v>2</v>
      </c>
      <c r="BU55" s="829">
        <f ca="1">RANK(BW55,$BW$54:$BW$57)</f>
        <v>4</v>
      </c>
      <c r="BV55" s="829" t="str">
        <f ca="1">A54</f>
        <v>Serbia</v>
      </c>
      <c r="BW55" s="829">
        <f t="shared" ca="1" si="8"/>
        <v>1101210499.74</v>
      </c>
      <c r="BX55" s="829" t="str">
        <f ca="1">VLOOKUP(Q55,$AH$54:$AI$57,2,0)</f>
        <v>Suiza</v>
      </c>
      <c r="BY55" s="829">
        <f ca="1">VLOOKUP($BX55,$AI$54:$AR$57,10,FALSE)</f>
        <v>6675210499.7299995</v>
      </c>
      <c r="CA55" s="829">
        <v>2</v>
      </c>
      <c r="CB55" s="829" t="str">
        <f ca="1">VLOOKUP(CA55,$AH$54:$AI$57,2,0)</f>
        <v>Suiza</v>
      </c>
      <c r="CC55" s="829">
        <f ca="1">VLOOKUP(CB55,$AI$54:$AR$57,2,FALSE)</f>
        <v>6</v>
      </c>
      <c r="CD55" s="836">
        <f ca="1">IF(SUM($AK$54:$AK$57)=12,MIN(ABS(BY54-BY55),ABS(BY55-BY56)),100)</f>
        <v>4000000.0200004578</v>
      </c>
      <c r="CE55" s="829">
        <f ca="1">VLOOKUP($CB55,$AI$54:$AR$57,9,FALSE)</f>
        <v>1</v>
      </c>
      <c r="CF55" s="829">
        <f ca="1">VLOOKUP($CB55,$AI$54:$AR$57,7,FALSE)</f>
        <v>4</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0</v>
      </c>
      <c r="CS55" s="827">
        <f t="array" aca="1" ref="CS55" ca="1">IF(AND($CC$55&lt;&gt;$CC$54,$CC$55&lt;&gt;$CC$56),1,0)</f>
        <v>0</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5"/>
      <c r="F56" s="260">
        <f>Horarios!C56</f>
        <v>44897.916666666664</v>
      </c>
      <c r="G56" s="261">
        <f>Horarios!C56</f>
        <v>44897.916666666664</v>
      </c>
      <c r="H56" s="260" t="s">
        <v>74</v>
      </c>
      <c r="I56" s="262" t="str">
        <f ca="1">A54</f>
        <v>Serbia</v>
      </c>
      <c r="J56" s="263" t="str">
        <f ca="1">VLOOKUP(I56,Equipos!$H$2:$I$33,2,0)</f>
        <v>🇷🇸</v>
      </c>
      <c r="K56" s="264">
        <v>2</v>
      </c>
      <c r="L56" s="264">
        <v>3</v>
      </c>
      <c r="M56" s="382" t="str">
        <f ca="1">VLOOKUP(N56,Equipos!$H$2:$I$33,2,0)</f>
        <v>🇨🇭</v>
      </c>
      <c r="N56" s="271" t="str">
        <f ca="1">A55</f>
        <v>Suiza</v>
      </c>
      <c r="O56" s="385">
        <f t="shared" si="39"/>
        <v>1</v>
      </c>
      <c r="P56" s="88"/>
      <c r="Q56" s="315">
        <v>3</v>
      </c>
      <c r="R56" s="4" t="str">
        <f ca="1">VLOOKUP(Q56,$AG$54:$AI$57,3,0)</f>
        <v>Camerún</v>
      </c>
      <c r="S56" s="3">
        <f ca="1">VLOOKUP(R56,$AI$54:$AR$57,2,FALSE)</f>
        <v>4</v>
      </c>
      <c r="T56" s="3">
        <f ca="1">VLOOKUP($R56,$AI$54:$AR$57,3,FALSE)</f>
        <v>3</v>
      </c>
      <c r="U56" s="3">
        <f ca="1">VLOOKUP($R56,$AI$54:$AR$57,4,FALSE)</f>
        <v>1</v>
      </c>
      <c r="V56" s="3">
        <f ca="1">VLOOKUP($R56,$AI$54:$AR$57,5,FALSE)</f>
        <v>1</v>
      </c>
      <c r="W56" s="3">
        <f ca="1">VLOOKUP($R56,$AI$54:$AR$57,6,FALSE)</f>
        <v>1</v>
      </c>
      <c r="X56" s="3">
        <f ca="1">VLOOKUP($R56,$AI$54:$AR$57,7,FALSE)</f>
        <v>4</v>
      </c>
      <c r="Y56" s="3">
        <f ca="1">VLOOKUP($R56,$AI$54:$AR$57,8,FALSE)</f>
        <v>4</v>
      </c>
      <c r="Z56" s="316">
        <f ca="1">VLOOKUP($R56,$AI$54:$AR$57,9,FALSE)</f>
        <v>0</v>
      </c>
      <c r="AA56" s="395">
        <f ca="1">IF(SUM($AK$54:$AK$57)=12,MIN(ABS(BY55-BY56),ABS(BY56-BY57)),100)</f>
        <v>2227000000.0099993</v>
      </c>
      <c r="AB56" s="101" t="str">
        <f ca="1">IF(AND(AA56&gt;=0,AA56&lt;90),VLOOKUP(Q56,$BU$54:$BV$57,2,0),"")</f>
        <v/>
      </c>
      <c r="AC56" s="78"/>
      <c r="AD56" s="79"/>
      <c r="AE56" s="365"/>
      <c r="AF56" s="828">
        <f ca="1">VLOOKUP($R56,$AI$54:$AR$57,10,FALSE)</f>
        <v>4448210499.7200003</v>
      </c>
      <c r="AG56" s="827">
        <f ca="1">RANK(AU56,$AU$54:$AU$57)</f>
        <v>2</v>
      </c>
      <c r="AH56" s="827">
        <f ca="1">RANK(AR56,$AR$54:$AR$57)</f>
        <v>2</v>
      </c>
      <c r="AI56" s="829" t="str">
        <f ca="1">A55</f>
        <v>Suiza</v>
      </c>
      <c r="AJ56" s="827">
        <f ca="1">AL56*3+AM56*1+AN56*0</f>
        <v>6</v>
      </c>
      <c r="AK56" s="827">
        <f ca="1">COUNTIFS($I$4:$I$65,AI56,$K$4:$K$65,"&lt;&gt;",$L$4:$L$65,"&lt;&gt;")+COUNTIFS($N$4:$N$65,AI56,$L$4:$L$65,"&lt;&gt;",$K$4:$K$65,"&lt;&gt;")</f>
        <v>3</v>
      </c>
      <c r="AL56" s="827">
        <f t="array" aca="1" ref="AL56" ca="1">SUM(($I$4:$I$65=AI56)*($K$4:$K$65&lt;&gt;"")*($L$4:$L$65&lt;&gt;"")*($K$4:$K$65&gt;$L$4:$L$65),($N$4:$N$65=AI56)*($K$4:$K$65&lt;&gt;"")*($L$4:$L$65&lt;&gt;"")*($K$4:$K$65&lt;$L$4:$L$65))</f>
        <v>2</v>
      </c>
      <c r="AM56" s="827">
        <f t="array" aca="1" ref="AM56" ca="1">SUM(($I$4:$I$65=AI56)*($K$4:$K$65&lt;&gt;"")*($L$4:$L$65&lt;&gt;"")*($K$4:$K$65=$L$4:$L$65),($N$4:$N$65=AI56)*($K$4:$K$65&lt;&gt;"")*($L$4:$L$65&lt;&gt;"")*($K$4:$K$65=$L$4:$L$65))</f>
        <v>0</v>
      </c>
      <c r="AN56" s="827">
        <f t="array" aca="1" ref="AN56" ca="1">SUM(($I$4:$I$65=AI56)*($L$4:$L$65&lt;&gt;"")*($K$4:$K$65&lt;&gt;"")*($K$4:$K$65&lt;$L$4:$L$65),($K$4:$K$65&lt;&gt;"")*($N$4:$N$65=AI56)*($L$4:$L$65&lt;&gt;"")*($K$4:$K$65&gt;$L$4:$L$65))</f>
        <v>1</v>
      </c>
      <c r="AO56" s="827">
        <f t="array" aca="1" ref="AO56" ca="1">SUMIFS($K$4:$K$65,$I$4:$I$65,AI56,$K$4:$K$65,"&lt;&gt;",$L$4:$L$65,"&lt;&gt;")+SUMIFS($L$4:$L$65,$N$4:$N$65,AI56,$K$4:$K$65,"&lt;&gt;",$L$4:$L$65,"&lt;&gt;")</f>
        <v>4</v>
      </c>
      <c r="AP56" s="827">
        <f t="array" aca="1" ref="AP56" ca="1">SUMIFS($K$4:$K$65,$N$4:$N$65,AI56,$K$4:$K$65,"&lt;&gt;",$L$4:$L$65,"&lt;&gt;")+SUMIFS($L$4:$L$65,$I$4:$I$65,AI56,$K$4:$K$65,"&lt;&gt;",$L$4:$L$65,"&lt;&gt;")</f>
        <v>3</v>
      </c>
      <c r="AQ56" s="827">
        <f ca="1">AO56-AP56</f>
        <v>1</v>
      </c>
      <c r="AR56" s="827">
        <f ca="1">IF(AK56=0,-($AW$11*VLOOKUP(AI56,Tabla3[[NombreEquipo]:[Rank]],3,FALSE)),AJ56*$AW$4+AQ56*$AW$5+AO56*$AW$6+BA56-($AW$11*VLOOKUP(AI56,Tabla3[[NombreEquipo]:[Rank]],3,FALSE)/100))</f>
        <v>6675210499.7299995</v>
      </c>
      <c r="AS56" s="827">
        <f ca="1">AH56</f>
        <v>2</v>
      </c>
      <c r="AT56" s="827"/>
      <c r="AU56" s="827">
        <f ca="1">IFERROR(AR56-VLOOKUP(AI56,$AB$54:$AC$57,2,0),AR56)</f>
        <v>6675210499.7299995</v>
      </c>
      <c r="AV56" s="827"/>
      <c r="AW56" s="830"/>
      <c r="AX56" s="827"/>
      <c r="AY56" s="834" t="str">
        <f ca="1">AI56</f>
        <v>Suiza</v>
      </c>
      <c r="AZ56" s="827">
        <f ca="1">COUNTIF(AJ54:AJ57,AJ56)</f>
        <v>2</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0</v>
      </c>
      <c r="BE56" s="835">
        <f t="array" aca="1" ref="BE56" ca="1">SUMIFS($K$52:$K$57,$I$52:$I$57,$AY56,$K$52:$K$57,"&lt;&gt;",$L$52:$L$57,"&lt;&gt;",$N$52:$N$57,BE53)+SUMIFS($L$52:$L$57,$I$52:$I$57,BE53,$K$52:$K$57,"&lt;&gt;",$L$52:$L$57,"&lt;&gt;",$N$52:$N$57,$AY56)</f>
        <v>3</v>
      </c>
      <c r="BF56" s="835">
        <v>0</v>
      </c>
      <c r="BG56" s="835">
        <f t="array" aca="1" ref="BG56" ca="1">SUMIFS($K$52:$K$57,$I$52:$I$57,$AY56,$K$52:$K$57,"&lt;&gt;",$L$52:$L$57,"&lt;&gt;",$N$52:$N$57,BG53)+SUMIFS($L$52:$L$57,$I$52:$I$57,BG53,$K$52:$K$57,"&lt;&gt;",$L$52:$L$57,"&lt;&gt;",$N$52:$N$57,$AY56)</f>
        <v>1</v>
      </c>
      <c r="BH56" s="835">
        <f ca="1">RANK(BI56,BI54:BI57,1)</f>
        <v>1</v>
      </c>
      <c r="BI56" s="835">
        <f ca="1">SUM(IF(AND(AJ56=AJ57,AQ56=AQ57,AO56=AO57),BM56,0),IF(AND(AJ56=AJ54,AQ56=AQ54,AO56=AO54),BJ56,0),IF(AND(AJ56=AJ55,AQ56=AQ55,AO56=AO55),BK56,0))</f>
        <v>0</v>
      </c>
      <c r="BJ56" s="835">
        <f ca="1">BD56-BF54</f>
        <v>-1</v>
      </c>
      <c r="BK56" s="835">
        <f ca="1">BE56-BF55</f>
        <v>1</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3</v>
      </c>
      <c r="BR56" s="835">
        <v>0</v>
      </c>
      <c r="BS56" s="835">
        <f t="array" aca="1" ref="BS56" ca="1">SUM((I$4:I$57=AY56)*(N$4:N$57=BS53)*(K$4:K$57&lt;&gt;"")*(L$4:L$57&lt;&gt;"")*(K$4:K$57&gt;L$4:L$57)*3,(N$4:N$57=AY56)*(I$4:I$57=BS53)*(K$4:K$57&lt;&gt;"")*(L$4:L$57&lt;&gt;"")*(K$4:K$57=L$4:L$57)*1,(N$4:N$57=AY56)*(I$4:I$57=BS53)*(K$4:K$57&lt;&gt;"")*(L$4:L$57&lt;&gt;"")*(K$4:K$57&lt;L$4:L$57)*3,(I$4:I$57=AY56)*(N$4:N$57=BS53)*(K$4:K$57&lt;&gt;"")*(L$4:L$57&lt;&gt;"")*(K$4:K$57=L$4:L$57)*1)</f>
        <v>3</v>
      </c>
      <c r="BT56" s="829">
        <v>3</v>
      </c>
      <c r="BU56" s="829">
        <f ca="1">RANK(BW56,$BW$54:$BW$57)</f>
        <v>2</v>
      </c>
      <c r="BV56" s="829" t="str">
        <f ca="1">A55</f>
        <v>Suiza</v>
      </c>
      <c r="BW56" s="829">
        <f t="shared" ca="1" si="8"/>
        <v>6675210499.7299995</v>
      </c>
      <c r="BX56" s="829" t="str">
        <f ca="1">VLOOKUP(Q56,$AH$54:$AI$57,2,0)</f>
        <v>Camerún</v>
      </c>
      <c r="BY56" s="829">
        <f ca="1">VLOOKUP($BX56,$AI$54:$AR$57,10,FALSE)</f>
        <v>4448210499.7200003</v>
      </c>
      <c r="CA56" s="829">
        <v>3</v>
      </c>
      <c r="CB56" s="829" t="str">
        <f ca="1">VLOOKUP(CA56,$AH$54:$AI$57,2,0)</f>
        <v>Camerún</v>
      </c>
      <c r="CC56" s="829">
        <f ca="1">VLOOKUP(CB56,$AI$54:$AR$57,2,FALSE)</f>
        <v>4</v>
      </c>
      <c r="CD56" s="836">
        <f ca="1">IF(SUM($AK$54:$AK$57)=12,MIN(ABS(BY55-BY56),ABS(BY56-BY57)),100)</f>
        <v>2227000000.0099993</v>
      </c>
      <c r="CE56" s="829">
        <f ca="1">VLOOKUP($CB56,$AI$54:$AR$57,9,FALSE)</f>
        <v>0</v>
      </c>
      <c r="CF56" s="829">
        <f ca="1">VLOOKUP($CB56,$AI$54:$AR$57,7,FALSE)</f>
        <v>4</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75" thickBot="1">
      <c r="A57" s="810"/>
      <c r="B57" s="810"/>
      <c r="C57" s="810"/>
      <c r="D57" s="159"/>
      <c r="E57" s="936"/>
      <c r="F57" s="272">
        <f>Horarios!C57</f>
        <v>44897.916666666664</v>
      </c>
      <c r="G57" s="273">
        <f>Horarios!C57</f>
        <v>44897.916666666664</v>
      </c>
      <c r="H57" s="272" t="s">
        <v>74</v>
      </c>
      <c r="I57" s="274" t="str">
        <f ca="1">A56</f>
        <v>Camerún</v>
      </c>
      <c r="J57" s="275" t="str">
        <f ca="1">VLOOKUP(I57,Equipos!$H$2:$I$33,2,0)</f>
        <v>🇨🇲</v>
      </c>
      <c r="K57" s="276">
        <v>1</v>
      </c>
      <c r="L57" s="276">
        <v>0</v>
      </c>
      <c r="M57" s="383" t="str">
        <f ca="1">VLOOKUP(N57,Equipos!$H$2:$I$33,2,0)</f>
        <v>🇧🇷</v>
      </c>
      <c r="N57" s="277" t="str">
        <f ca="1">A53</f>
        <v>Brasil</v>
      </c>
      <c r="O57" s="385">
        <f t="shared" si="39"/>
        <v>1</v>
      </c>
      <c r="P57" s="88"/>
      <c r="Q57" s="317">
        <v>4</v>
      </c>
      <c r="R57" s="318" t="str">
        <f ca="1">VLOOKUP(Q57,$AG$54:$AI$57,3,0)</f>
        <v>Serbia</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5</v>
      </c>
      <c r="Y57" s="319">
        <f ca="1">VLOOKUP($R57,$AI$54:$AR$57,8,FALSE)</f>
        <v>8</v>
      </c>
      <c r="Z57" s="320">
        <f ca="1">VLOOKUP($R57,$AI$54:$AR$57,9,FALSE)</f>
        <v>-3</v>
      </c>
      <c r="AA57" s="395">
        <f ca="1">IF(SUM($AK$54:$AK$57)=12,MIN(ABS(BY56-BY57),ABS(BY57-BY58)),100)</f>
        <v>1101210499.74</v>
      </c>
      <c r="AB57" s="101" t="str">
        <f ca="1">IF(AND(AA57&gt;=0,AA57&lt;90),VLOOKUP(Q57,$BU$54:$BV$57,2,0),"")</f>
        <v/>
      </c>
      <c r="AC57" s="78"/>
      <c r="AD57" s="79"/>
      <c r="AE57" s="365"/>
      <c r="AF57" s="828">
        <f ca="1">VLOOKUP($R57,$AI$54:$AR$57,10,FALSE)</f>
        <v>1101210499.74</v>
      </c>
      <c r="AG57" s="827">
        <f ca="1">RANK(AU57,$AU$54:$AU$57)</f>
        <v>3</v>
      </c>
      <c r="AH57" s="827">
        <f ca="1">RANK(AR57,$AR$54:$AR$57)</f>
        <v>3</v>
      </c>
      <c r="AI57" s="829" t="str">
        <f ca="1">A56</f>
        <v>Camerún</v>
      </c>
      <c r="AJ57" s="827">
        <f ca="1">AL57*3+AM57*1+AN57*0</f>
        <v>4</v>
      </c>
      <c r="AK57" s="827">
        <f ca="1">COUNTIFS($I$4:$I$65,AI57,$K$4:$K$65,"&lt;&gt;",$L$4:$L$65,"&lt;&gt;")+COUNTIFS($N$4:$N$65,AI57,$L$4:$L$65,"&lt;&gt;",$K$4:$K$65,"&lt;&gt;")</f>
        <v>3</v>
      </c>
      <c r="AL57" s="827">
        <f t="array" aca="1" ref="AL57" ca="1">SUM(($I$4:$I$65=AI57)*($K$4:$K$65&lt;&gt;"")*($L$4:$L$65&lt;&gt;"")*($K$4:$K$65&gt;$L$4:$L$65),($N$4:$N$65=AI57)*($K$4:$K$65&lt;&gt;"")*($L$4:$L$65&lt;&gt;"")*($K$4:$K$65&lt;$L$4:$L$65))</f>
        <v>1</v>
      </c>
      <c r="AM57" s="827">
        <f t="array" aca="1" ref="AM57" ca="1">SUM(($I$4:$I$65=AI57)*($K$4:$K$65&lt;&gt;"")*($L$4:$L$65&lt;&gt;"")*($K$4:$K$65=$L$4:$L$65),($N$4:$N$65=AI57)*($K$4:$K$65&lt;&gt;"")*($L$4:$L$65&lt;&gt;"")*($K$4:$K$65=$L$4:$L$65))</f>
        <v>1</v>
      </c>
      <c r="AN57" s="827">
        <f t="array" aca="1" ref="AN57" ca="1">SUM(($I$4:$I$65=AI57)*($L$4:$L$65&lt;&gt;"")*($K$4:$K$65&lt;&gt;"")*($K$4:$K$65&lt;$L$4:$L$65),($K$4:$K$65&lt;&gt;"")*($N$4:$N$65=AI57)*($L$4:$L$65&lt;&gt;"")*($K$4:$K$65&gt;$L$4:$L$65))</f>
        <v>1</v>
      </c>
      <c r="AO57" s="827">
        <f t="array" aca="1" ref="AO57" ca="1">SUMIFS($K$4:$K$65,$I$4:$I$65,AI57,$K$4:$K$65,"&lt;&gt;",$L$4:$L$65,"&lt;&gt;")+SUMIFS($L$4:$L$65,$N$4:$N$65,AI57,$K$4:$K$65,"&lt;&gt;",$L$4:$L$65,"&lt;&gt;")</f>
        <v>4</v>
      </c>
      <c r="AP57" s="827">
        <f t="array" aca="1" ref="AP57" ca="1">SUMIFS($K$4:$K$65,$N$4:$N$65,AI57,$K$4:$K$65,"&lt;&gt;",$L$4:$L$65,"&lt;&gt;")+SUMIFS($L$4:$L$65,$I$4:$I$65,AI57,$K$4:$K$65,"&lt;&gt;",$L$4:$L$65,"&lt;&gt;")</f>
        <v>4</v>
      </c>
      <c r="AQ57" s="827">
        <f ca="1">AO57-AP57</f>
        <v>0</v>
      </c>
      <c r="AR57" s="827">
        <f ca="1">IF(AK57=0,-($AW$11*VLOOKUP(AI57,Tabla3[[NombreEquipo]:[Rank]],3,FALSE)),AJ57*$AW$4+AQ57*$AW$5+AO57*$AW$6+BA57-($AW$11*VLOOKUP(AI57,Tabla3[[NombreEquipo]:[Rank]],3,FALSE)/100))</f>
        <v>4448210499.7200003</v>
      </c>
      <c r="AS57" s="827">
        <f ca="1">AH57</f>
        <v>3</v>
      </c>
      <c r="AT57" s="827"/>
      <c r="AU57" s="827">
        <f ca="1">IFERROR(AR57-VLOOKUP(AI57,$AB$54:$AC$57,2,0),AR57)</f>
        <v>4448210499.7200003</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3</v>
      </c>
      <c r="BF57" s="835">
        <f t="array" aca="1" ref="BF57" ca="1">SUMIFS($K$52:$K$57,$I$52:$I$57,$AY57,$K$52:$K$57,"&lt;&gt;",$L$52:$L$57,"&lt;&gt;",$N$52:$N$57,BF53)+SUMIFS($L$52:$L$57,$I$52:$I$57,BF53,$K$52:$K$57,"&lt;&gt;",$L$52:$L$57,"&lt;&gt;",$N$52:$N$57,$AY57)</f>
        <v>0</v>
      </c>
      <c r="BG57" s="835">
        <v>0</v>
      </c>
      <c r="BH57" s="835">
        <f ca="1">RANK(BI57,BI54:BI57,1)</f>
        <v>1</v>
      </c>
      <c r="BI57" s="835">
        <f ca="1">SUM(IF(AND(AJ57=AJ54,AQ57=AQ54,AO57=AO54),BJ57,0),IF(AND(AJ57=AJ55,AQ57=AQ55,AO57=AO55),BK57,0),IF(AND(AJ57=AJ56,AQ57=AQ56,AO57=AO56),BL57,0))</f>
        <v>0</v>
      </c>
      <c r="BJ57" s="835">
        <f ca="1">BD57-BG54</f>
        <v>1</v>
      </c>
      <c r="BK57" s="835">
        <f ca="1">BE57-BG55</f>
        <v>0</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3</v>
      </c>
      <c r="BQ57" s="835">
        <f t="array" aca="1" ref="BQ57" ca="1">SUM((I$4:I$57=AY57)*(N$4:N$57=BQ53)*(K$4:K$57&lt;&gt;"")*(L$4:L$57&lt;&gt;"")*(K$4:K$57&gt;L$4:L$57)*3,(N$4:N$57=AY57)*(I$4:I$57=BQ53)*(K$4:K$57&lt;&gt;"")*(L$4:L$57&lt;&gt;"")*(K$4:K$57=L$4:L$57)*1,(N$4:N$57=AY57)*(I$4:I$57=BQ53)*(K$4:K$57&lt;&gt;"")*(L$4:L$57&lt;&gt;"")*(K$4:K$57&lt;L$4:L$57)*3,(I$4:I$57=AY57)*(N$4:N$57=BQ53)*(K$4:K$57&lt;&gt;"")*(L$4:L$57&lt;&gt;"")*(K$4:K$57=L$4:L$57)*1)</f>
        <v>1</v>
      </c>
      <c r="BR57" s="835">
        <f t="array" aca="1" ref="BR57" ca="1">SUM((I$4:I$57=AY57)*(N$4:N$57=BR53)*(K$4:K$57&lt;&gt;"")*(L$4:L$57&lt;&gt;"")*(K$4:K$57&gt;L$4:L$57)*3,(N$4:N$57=AY57)*(I$4:I$57=BR53)*(K$4:K$57&lt;&gt;"")*(L$4:L$57&lt;&gt;"")*(K$4:K$57=L$4:L$57)*1,(N$4:N$57=AY57)*(I$4:I$57=BR53)*(K$4:K$57&lt;&gt;"")*(L$4:L$57&lt;&gt;"")*(K$4:K$57&lt;L$4:L$57)*3,(I$4:I$57=AY57)*(N$4:N$57=BR53)*(K$4:K$57&lt;&gt;"")*(L$4:L$57&lt;&gt;"")*(K$4:K$57=L$4:L$57)*1)</f>
        <v>0</v>
      </c>
      <c r="BS57" s="835">
        <v>0</v>
      </c>
      <c r="BT57" s="829">
        <v>4</v>
      </c>
      <c r="BU57" s="829">
        <f ca="1">RANK(BW57,$BW$54:$BW$57)</f>
        <v>3</v>
      </c>
      <c r="BV57" s="829" t="str">
        <f ca="1">A56</f>
        <v>Camerún</v>
      </c>
      <c r="BW57" s="829">
        <f t="shared" ca="1" si="8"/>
        <v>4448210499.7200003</v>
      </c>
      <c r="BX57" s="829" t="str">
        <f ca="1">VLOOKUP(Q57,$AH$54:$AI$57,2,0)</f>
        <v>Serbia</v>
      </c>
      <c r="BY57" s="829">
        <f ca="1">VLOOKUP($BX57,$AI$54:$AR$57,10,FALSE)</f>
        <v>1101210499.74</v>
      </c>
      <c r="CA57" s="829">
        <v>4</v>
      </c>
      <c r="CB57" s="829" t="str">
        <f ca="1">VLOOKUP(CA57,$AH$54:$AI$57,2,0)</f>
        <v>Serbia</v>
      </c>
      <c r="CC57" s="829">
        <f ca="1">VLOOKUP(CB57,$AI$54:$AR$57,2,FALSE)</f>
        <v>1</v>
      </c>
      <c r="CD57" s="836">
        <f ca="1">IF(SUM($AK$54:$AK$57)=12,MIN(ABS(BY56-BY57),ABS(BY57-BY58)),100)</f>
        <v>1101210499.74</v>
      </c>
      <c r="CE57" s="829">
        <f ca="1">VLOOKUP($CB57,$AI$54:$AR$57,9,FALSE)</f>
        <v>-3</v>
      </c>
      <c r="CF57" s="829">
        <f ca="1">VLOOKUP($CB57,$AI$54:$AR$57,7,FALSE)</f>
        <v>5</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875" t="s">
        <v>190</v>
      </c>
      <c r="F60" s="456">
        <f>Horarios!C60</f>
        <v>44889.666666666664</v>
      </c>
      <c r="G60" s="457">
        <f>Horarios!C60</f>
        <v>44889.666666666664</v>
      </c>
      <c r="H60" s="456" t="s">
        <v>72</v>
      </c>
      <c r="I60" s="458" t="str">
        <f ca="1">A63</f>
        <v>Uruguay</v>
      </c>
      <c r="J60" s="459" t="str">
        <f ca="1">VLOOKUP(I60,Equipos!$H$2:$I$33,2,0)</f>
        <v>🇺🇾</v>
      </c>
      <c r="K60" s="460">
        <v>0</v>
      </c>
      <c r="L60" s="460">
        <v>0</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4" t="s">
        <v>67</v>
      </c>
      <c r="AC60" s="874"/>
      <c r="AD60" s="874"/>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1</v>
      </c>
      <c r="CP60" s="827">
        <f t="shared" ca="1" si="45"/>
        <v>0</v>
      </c>
      <c r="CQ60" s="827">
        <f t="shared" ca="1" si="45"/>
        <v>2</v>
      </c>
      <c r="CR60" s="827">
        <f t="shared" ca="1" si="45"/>
        <v>1</v>
      </c>
      <c r="CS60" s="827">
        <f t="shared" ca="1" si="45"/>
        <v>2</v>
      </c>
      <c r="CT60" s="827">
        <f t="shared" ca="1" si="45"/>
        <v>0</v>
      </c>
      <c r="CU60" s="827">
        <f t="shared" ca="1" si="45"/>
        <v>0</v>
      </c>
      <c r="CV60" s="827">
        <f t="shared" ca="1" si="45"/>
        <v>0</v>
      </c>
      <c r="CW60" s="827">
        <f t="shared" ca="1" si="45"/>
        <v>1</v>
      </c>
      <c r="CX60" s="827">
        <f t="shared" ca="1" si="45"/>
        <v>1</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6"/>
      <c r="F61" s="442">
        <f>Horarios!C61</f>
        <v>44889.791666666664</v>
      </c>
      <c r="G61" s="443">
        <f>Horarios!C61</f>
        <v>44889.791666666664</v>
      </c>
      <c r="H61" s="442" t="s">
        <v>72</v>
      </c>
      <c r="I61" s="444" t="str">
        <f ca="1">A61</f>
        <v>Portugal</v>
      </c>
      <c r="J61" s="445" t="str">
        <f ca="1">VLOOKUP(I61,Equipos!$H$2:$I$33,2,0)</f>
        <v>🇵🇹</v>
      </c>
      <c r="K61" s="455">
        <v>3</v>
      </c>
      <c r="L61" s="455">
        <v>2</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874"/>
      <c r="AC61" s="874"/>
      <c r="AD61" s="874"/>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6"/>
      <c r="F62" s="442">
        <f>Horarios!C62</f>
        <v>44893.666666666664</v>
      </c>
      <c r="G62" s="443">
        <f>Horarios!C62</f>
        <v>44893.666666666664</v>
      </c>
      <c r="H62" s="442" t="s">
        <v>73</v>
      </c>
      <c r="I62" s="444" t="str">
        <f ca="1">A64</f>
        <v>Corea del Sur</v>
      </c>
      <c r="J62" s="445" t="str">
        <f ca="1">VLOOKUP(I62,Equipos!$H$2:$I$33,2,0)</f>
        <v>🇰🇷</v>
      </c>
      <c r="K62" s="455">
        <v>2</v>
      </c>
      <c r="L62" s="455">
        <v>3</v>
      </c>
      <c r="M62" s="446" t="str">
        <f ca="1">VLOOKUP(N62,Equipos!$H$2:$I$33,2,0)</f>
        <v>🇬🇭</v>
      </c>
      <c r="N62" s="463" t="str">
        <f ca="1">A62</f>
        <v>Ghana</v>
      </c>
      <c r="O62" s="385">
        <f t="shared" si="46"/>
        <v>1</v>
      </c>
      <c r="P62" s="88"/>
      <c r="Q62" s="478">
        <v>1</v>
      </c>
      <c r="R62" s="479" t="str">
        <f ca="1">VLOOKUP(Q62,$AG$62:$AI$65,3,0)</f>
        <v>Portugal</v>
      </c>
      <c r="S62" s="480">
        <f ca="1">VLOOKUP(R62,$AI$62:$AR$65,2,FALSE)</f>
        <v>6</v>
      </c>
      <c r="T62" s="480">
        <f ca="1">VLOOKUP($R62,$AI$62:$AR$65,3,FALSE)</f>
        <v>3</v>
      </c>
      <c r="U62" s="480">
        <f ca="1">VLOOKUP($R62,$AI$62:$AR$65,4,FALSE)</f>
        <v>2</v>
      </c>
      <c r="V62" s="480">
        <f ca="1">VLOOKUP($R62,$AI$62:$AR$65,5,FALSE)</f>
        <v>0</v>
      </c>
      <c r="W62" s="480">
        <f ca="1">VLOOKUP($R62,$AI$62:$AR$65,6,FALSE)</f>
        <v>1</v>
      </c>
      <c r="X62" s="480">
        <f ca="1">VLOOKUP($R62,$AI$62:$AR$65,7,FALSE)</f>
        <v>6</v>
      </c>
      <c r="Y62" s="480">
        <f ca="1">VLOOKUP($R62,$AI$62:$AR$65,8,FALSE)</f>
        <v>4</v>
      </c>
      <c r="Z62" s="481">
        <f ca="1">VLOOKUP($R62,$AI$62:$AR$65,9,FALSE)</f>
        <v>2</v>
      </c>
      <c r="AA62" s="395">
        <f ca="1">IF(SUM($AK$62:$AK$65)=12,MIN(ABS(BY61-BY62),ABS(BY62-BY63)),100)</f>
        <v>2222021100.0299997</v>
      </c>
      <c r="AB62" s="101" t="str">
        <f ca="1">IF(AND(AA62&gt;=0,AA62&lt;90),VLOOKUP(Q62,$BU$62:$BV$65,2,0),"")</f>
        <v/>
      </c>
      <c r="AC62" s="78"/>
      <c r="AD62" s="79"/>
      <c r="AE62" s="365"/>
      <c r="AF62" s="828">
        <f ca="1">VLOOKUP($R62,$AI$62:$AR$65,10,FALSE)</f>
        <v>6666233699.71</v>
      </c>
      <c r="AG62" s="827">
        <f ca="1">RANK(AU62,$AU$62:$AU$65)</f>
        <v>1</v>
      </c>
      <c r="AH62" s="827">
        <f ca="1">RANK(AR62,$AR$62:$AR$65)</f>
        <v>1</v>
      </c>
      <c r="AI62" s="829" t="str">
        <f ca="1">A61</f>
        <v>Portugal</v>
      </c>
      <c r="AJ62" s="827">
        <f ca="1">AL62*3+AM62*1+AN62*0</f>
        <v>6</v>
      </c>
      <c r="AK62" s="827">
        <f ca="1">COUNTIFS($I$4:$I$65,AI62,$K$4:$K$65,"&lt;&gt;",$L$4:$L$65,"&lt;&gt;")+COUNTIFS($N$4:$N$65,AI62,$L$4:$L$65,"&lt;&gt;",$K$4:$K$65,"&lt;&gt;")</f>
        <v>3</v>
      </c>
      <c r="AL62" s="827">
        <f t="array" aca="1" ref="AL62" ca="1">SUM(($I$4:$I$65=AI62)*($K$4:$K$65&lt;&gt;"")*($L$4:$L$65&lt;&gt;"")*($K$4:$K$65&gt;$L$4:$L$65),($N$4:$N$65=AI62)*($K$4:$K$65&lt;&gt;"")*($L$4:$L$65&lt;&gt;"")*($K$4:$K$65&lt;$L$4:$L$65))</f>
        <v>2</v>
      </c>
      <c r="AM62" s="827">
        <f t="array" aca="1" ref="AM62" ca="1">SUM(($I$4:$I$65=AI62)*($K$4:$K$65&lt;&gt;"")*($L$4:$L$65&lt;&gt;"")*($K$4:$K$65=$L$4:$L$65),($N$4:$N$65=AI62)*($K$4:$K$65&lt;&gt;"")*($L$4:$L$65&lt;&gt;"")*($K$4:$K$65=$L$4:$L$65))</f>
        <v>0</v>
      </c>
      <c r="AN62" s="827">
        <f t="array" aca="1" ref="AN62" ca="1">SUM(($I$4:$I$65=AI62)*($L$4:$L$65&lt;&gt;"")*($K$4:$K$65&lt;&gt;"")*($K$4:$K$65&lt;$L$4:$L$65),($K$4:$K$65&lt;&gt;"")*($N$4:$N$65=AI62)*($L$4:$L$65&lt;&gt;"")*($K$4:$K$65&gt;$L$4:$L$65))</f>
        <v>1</v>
      </c>
      <c r="AO62" s="827">
        <f t="array" aca="1" ref="AO62" ca="1">SUMIFS($K$4:$K$65,$I$4:$I$65,AI62,$K$4:$K$65,"&lt;&gt;",$L$4:$L$65,"&lt;&gt;")+SUMIFS($L$4:$L$65,$N$4:$N$65,AI62,$K$4:$K$65,"&lt;&gt;",$L$4:$L$65,"&lt;&gt;")</f>
        <v>6</v>
      </c>
      <c r="AP62" s="827">
        <f t="array" aca="1" ref="AP62" ca="1">SUMIFS($K$4:$K$65,$N$4:$N$65,AI62,$K$4:$K$65,"&lt;&gt;",$L$4:$L$65,"&lt;&gt;")+SUMIFS($L$4:$L$65,$I$4:$I$65,AI62,$K$4:$K$65,"&lt;&gt;",$L$4:$L$65,"&lt;&gt;")</f>
        <v>4</v>
      </c>
      <c r="AQ62" s="827">
        <f ca="1">AO62-AP62</f>
        <v>2</v>
      </c>
      <c r="AR62" s="827">
        <f ca="1">IF(AK62=0,-($AW$11*VLOOKUP(AI62,Tabla3[[NombreEquipo]:[Rank]],3,FALSE)),AJ62*$AW$4+BA62+AQ62*$AW$8+AO62*$AW$9+AL62*$AW$10-($AW$11*VLOOKUP(AI62,Tabla3[[NombreEquipo]:[Rank]],3,FALSE)/100))</f>
        <v>6666233699.71</v>
      </c>
      <c r="AS62" s="827">
        <f ca="1">AH62</f>
        <v>1</v>
      </c>
      <c r="AT62" s="827"/>
      <c r="AU62" s="827">
        <f ca="1">IFERROR(AR62-VLOOKUP(AI62,$AB$62:$AC$65,2,0),AR62)</f>
        <v>6666233699.71</v>
      </c>
      <c r="AV62" s="827"/>
      <c r="AW62" s="830"/>
      <c r="AX62" s="827"/>
      <c r="AY62" s="834" t="str">
        <f ca="1">AI62</f>
        <v>Portugal</v>
      </c>
      <c r="AZ62" s="827">
        <f ca="1">COUNTIF(AJ62:AJ65,AJ62)</f>
        <v>1</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3</v>
      </c>
      <c r="BF62" s="835">
        <f t="array" aca="1" ref="BF62" ca="1">SUMIFS($K$60:$K$65,$I$60:$I$65,$AY62,$K$60:$K$65,"&lt;&gt;",$L$60:$L$65,"&lt;&gt;",$N$60:$N$65,BF61)+SUMIFS($L$60:$L$65,$I$60:$I$65,BF61,$K$60:$K$65,"&lt;&gt;",$L$60:$L$65,"&lt;&gt;",$N$60:$N$65,$AY62)</f>
        <v>2</v>
      </c>
      <c r="BG62" s="835">
        <f t="array" aca="1" ref="BG62" ca="1">SUMIFS($K$60:$K$65,$I$60:$I$65,$AY62,$K$60:$K$65,"&lt;&gt;",$L$60:$L$65,"&lt;&gt;",$N$60:$N$65,BG61)+SUMIFS($L$60:$L$65,$I$60:$I$65,BG61,$K$60:$K$65,"&lt;&gt;",$L$60:$L$65,"&lt;&gt;",$N$60:$N$65,$AY62)</f>
        <v>1</v>
      </c>
      <c r="BH62" s="835">
        <f ca="1">RANK(BI62,BI62:BI65,1)</f>
        <v>1</v>
      </c>
      <c r="BI62" s="835">
        <f ca="1">SUM(IF(AND(AJ62=AJ63,AQ62=AQ63,AO62=AO63),BK62,0),IF(AND(AJ62=AJ64,AQ62=AQ64,AO62=AO64),BL62,0),IF(AND(AJ62=AJ65,AQ62=AQ65,AO62=AO65),BM62,0))</f>
        <v>0</v>
      </c>
      <c r="BJ62" s="835">
        <v>0</v>
      </c>
      <c r="BK62" s="835">
        <f ca="1">BE62-BD63</f>
        <v>1</v>
      </c>
      <c r="BL62" s="835">
        <f ca="1">BF62-BD64</f>
        <v>2</v>
      </c>
      <c r="BM62" s="835">
        <f ca="1">BG62-BD65</f>
        <v>-1</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3</v>
      </c>
      <c r="BS62" s="835">
        <f t="array" aca="1" ref="BS62" ca="1">SUM((I$4:I$65=AY62)*(N$4:N$65=BS61)*(K$4:K$65&lt;&gt;"")*(L$4:L$65&lt;&gt;"")*(K$4:K$65&gt;L$4:L$65)*3,(N$4:N$65=AY62)*(I$4:I$65=BS61)*(K$4:K$65&lt;&gt;"")*(L$4:L$65&lt;&gt;"")*(K$4:K$65=L$4:L$65)*1,(N$4:N$65=AY62)*(I$4:I$65=BS61)*(K$4:K$65&lt;&gt;"")*(L$4:L$65&lt;&gt;"")*(K$4:K$65&lt;L$4:L$65)*3,(I$4:I$65=AY62)*(N$4:N$65=BS61)*(K$4:K$65&lt;&gt;"")*(L$4:L$65&lt;&gt;"")*(K$4:K$65=L$4:L$65)*1)</f>
        <v>0</v>
      </c>
      <c r="BT62" s="829">
        <v>1</v>
      </c>
      <c r="BU62" s="829">
        <f ca="1">RANK(BW62,$BW$62:$BW$65)</f>
        <v>1</v>
      </c>
      <c r="BV62" s="829" t="str">
        <f ca="1">A61</f>
        <v>Portugal</v>
      </c>
      <c r="BW62" s="829">
        <f t="shared" ref="BW62" ca="1" si="48">AR62</f>
        <v>6666233699.71</v>
      </c>
      <c r="BX62" s="829" t="str">
        <f ca="1">VLOOKUP(Q62,$AH$62:$AI$65,2,0)</f>
        <v>Portugal</v>
      </c>
      <c r="BY62" s="829">
        <f ca="1">VLOOKUP($BX62,$AI$62:$AR$65,10,FALSE)</f>
        <v>6666233699.71</v>
      </c>
      <c r="CA62" s="829">
        <v>1</v>
      </c>
      <c r="CB62" s="829" t="str">
        <f ca="1">VLOOKUP(CA62,$AH$62:$AI$65,2,0)</f>
        <v>Portugal</v>
      </c>
      <c r="CC62" s="829">
        <f ca="1">VLOOKUP(CB62,$AI$62:$AR$65,2,FALSE)</f>
        <v>6</v>
      </c>
      <c r="CD62" s="836">
        <f ca="1">IF(SUM($AK$62:$AK$65)=12,MIN(ABS(BY61-BY62),ABS(BY62-BY63)),100)</f>
        <v>2222021100.0299997</v>
      </c>
      <c r="CE62" s="829">
        <f ca="1">VLOOKUP($CB62,$AI$62:$AR$65,9,FALSE)</f>
        <v>2</v>
      </c>
      <c r="CF62" s="829">
        <f ca="1">VLOOKUP($CB62,$AI$62:$AR$65,7,FALSE)</f>
        <v>6</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1</v>
      </c>
      <c r="CR62" s="827">
        <f t="array" aca="1" ref="CR62" ca="1">IF(AND($CC$62&lt;&gt;$CC$63,$CC$62&lt;&gt;$CC$65),1,0)</f>
        <v>1</v>
      </c>
      <c r="CS62" s="827">
        <f t="array" aca="1" ref="CS62" ca="1">IF(AND($CC$62&lt;&gt;$CC$63,$CC$62&lt;&gt;$CC$65),1,0)</f>
        <v>1</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1</v>
      </c>
      <c r="CX62" s="827">
        <f t="array" aca="1" ref="CX62" ca="1">IF(AND($CC$62&lt;&gt;$CC$63,$CC$62&lt;&gt;$CC$64),1,0)</f>
        <v>1</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6"/>
      <c r="F63" s="442">
        <f>Horarios!C63</f>
        <v>44893.916666666664</v>
      </c>
      <c r="G63" s="443">
        <f>Horarios!C63</f>
        <v>44893.916666666664</v>
      </c>
      <c r="H63" s="442" t="s">
        <v>73</v>
      </c>
      <c r="I63" s="444" t="str">
        <f ca="1">A61</f>
        <v>Portugal</v>
      </c>
      <c r="J63" s="445" t="str">
        <f ca="1">VLOOKUP(I63,Equipos!$H$2:$I$33,2,0)</f>
        <v>🇵🇹</v>
      </c>
      <c r="K63" s="455">
        <v>2</v>
      </c>
      <c r="L63" s="455">
        <v>0</v>
      </c>
      <c r="M63" s="446" t="str">
        <f ca="1">VLOOKUP(N63,Equipos!$H$2:$I$33,2,0)</f>
        <v>🇺🇾</v>
      </c>
      <c r="N63" s="463" t="str">
        <f ca="1">A63</f>
        <v>Uruguay</v>
      </c>
      <c r="O63" s="385">
        <f t="shared" si="46"/>
        <v>1</v>
      </c>
      <c r="P63" s="88"/>
      <c r="Q63" s="482">
        <v>2</v>
      </c>
      <c r="R63" s="4" t="str">
        <f ca="1">VLOOKUP(Q63,$AG$62:$AI$65,3,0)</f>
        <v>Corea del Sur</v>
      </c>
      <c r="S63" s="3">
        <f ca="1">VLOOKUP(R63,$AI$62:$AR$65,2,FALSE)</f>
        <v>4</v>
      </c>
      <c r="T63" s="3">
        <f ca="1">VLOOKUP($R63,$AI$62:$AR$65,3,FALSE)</f>
        <v>3</v>
      </c>
      <c r="U63" s="3">
        <f ca="1">VLOOKUP($R63,$AI$62:$AR$65,4,FALSE)</f>
        <v>1</v>
      </c>
      <c r="V63" s="3">
        <f ca="1">VLOOKUP($R63,$AI$62:$AR$65,5,FALSE)</f>
        <v>1</v>
      </c>
      <c r="W63" s="3">
        <f ca="1">VLOOKUP($R63,$AI$62:$AR$65,6,FALSE)</f>
        <v>1</v>
      </c>
      <c r="X63" s="3">
        <f ca="1">VLOOKUP($R63,$AI$62:$AR$65,7,FALSE)</f>
        <v>4</v>
      </c>
      <c r="Y63" s="3">
        <f ca="1">VLOOKUP($R63,$AI$62:$AR$65,8,FALSE)</f>
        <v>4</v>
      </c>
      <c r="Z63" s="483">
        <f ca="1">VLOOKUP($R63,$AI$62:$AR$65,9,FALSE)</f>
        <v>0</v>
      </c>
      <c r="AA63" s="395">
        <f ca="1">IF(SUM($AK$62:$AK$65)=12,MIN(ABS(BY62-BY63),ABS(BY63-BY64)),100)</f>
        <v>999.99000072479248</v>
      </c>
      <c r="AB63" s="101" t="str">
        <f ca="1">IF(AND(AA63&gt;=0,AA63&lt;90),VLOOKUP(Q63,$BU$62:$BV$65,2,0),"")</f>
        <v/>
      </c>
      <c r="AC63" s="78"/>
      <c r="AD63" s="79"/>
      <c r="AE63" s="365"/>
      <c r="AF63" s="828">
        <f ca="1">VLOOKUP($R63,$AI$62:$AR$65,10,FALSE)</f>
        <v>4444212599.6800003</v>
      </c>
      <c r="AG63" s="827">
        <f ca="1">RANK(AU63,$AU$62:$AU$65)</f>
        <v>4</v>
      </c>
      <c r="AH63" s="827">
        <f ca="1">RANK(AR63,$AR$62:$AR$65)</f>
        <v>4</v>
      </c>
      <c r="AI63" s="829" t="str">
        <f ca="1">A62</f>
        <v>Ghana</v>
      </c>
      <c r="AJ63" s="827">
        <f ca="1">AL63*3+AM63*1+AN63*0</f>
        <v>3</v>
      </c>
      <c r="AK63" s="827">
        <f ca="1">COUNTIFS($I$4:$I$65,AI63,$K$4:$K$65,"&lt;&gt;",$L$4:$L$65,"&lt;&gt;")+COUNTIFS($N$4:$N$65,AI63,$L$4:$L$65,"&lt;&gt;",$K$4:$K$65,"&lt;&gt;")</f>
        <v>3</v>
      </c>
      <c r="AL63" s="827">
        <f t="array" aca="1" ref="AL63" ca="1">SUM(($I$4:$I$65=AI63)*($K$4:$K$65&lt;&gt;"")*($L$4:$L$65&lt;&gt;"")*($K$4:$K$65&gt;$L$4:$L$65),($N$4:$N$65=AI63)*($K$4:$K$65&lt;&gt;"")*($L$4:$L$65&lt;&gt;"")*($K$4:$K$65&lt;$L$4:$L$65))</f>
        <v>1</v>
      </c>
      <c r="AM63" s="827">
        <f t="array" aca="1" ref="AM63" ca="1">SUM(($I$4:$I$65=AI63)*($K$4:$K$65&lt;&gt;"")*($L$4:$L$65&lt;&gt;"")*($K$4:$K$65=$L$4:$L$65),($N$4:$N$65=AI63)*($K$4:$K$65&lt;&gt;"")*($L$4:$L$65&lt;&gt;"")*($K$4:$K$65=$L$4:$L$65))</f>
        <v>0</v>
      </c>
      <c r="AN63" s="827">
        <f t="array" aca="1" ref="AN63" ca="1">SUM(($I$4:$I$65=AI63)*($L$4:$L$65&lt;&gt;"")*($K$4:$K$65&lt;&gt;"")*($K$4:$K$65&lt;$L$4:$L$65),($K$4:$K$65&lt;&gt;"")*($N$4:$N$65=AI63)*($L$4:$L$65&lt;&gt;"")*($K$4:$K$65&gt;$L$4:$L$65))</f>
        <v>2</v>
      </c>
      <c r="AO63" s="827">
        <f t="array" aca="1" ref="AO63" ca="1">SUMIFS($K$4:$K$65,$I$4:$I$65,AI63,$K$4:$K$65,"&lt;&gt;",$L$4:$L$65,"&lt;&gt;")+SUMIFS($L$4:$L$65,$N$4:$N$65,AI63,$K$4:$K$65,"&lt;&gt;",$L$4:$L$65,"&lt;&gt;")</f>
        <v>5</v>
      </c>
      <c r="AP63" s="827">
        <f t="array" aca="1" ref="AP63" ca="1">SUMIFS($K$4:$K$65,$N$4:$N$65,AI63,$K$4:$K$65,"&lt;&gt;",$L$4:$L$65,"&lt;&gt;")+SUMIFS($L$4:$L$65,$I$4:$I$65,AI63,$K$4:$K$65,"&lt;&gt;",$L$4:$L$65,"&lt;&gt;")</f>
        <v>7</v>
      </c>
      <c r="AQ63" s="827">
        <f ca="1">AO63-AP63</f>
        <v>-2</v>
      </c>
      <c r="AR63" s="827">
        <f ca="1">IF(AK63=0,-($AW$11*VLOOKUP(AI63,Tabla3[[NombreEquipo]:[Rank]],3,FALSE)),AJ63*$AW$4+BA63+AQ63*$AW$8+AO63*$AW$9+AL63*$AW$10-($AW$11*VLOOKUP(AI63,Tabla3[[NombreEquipo]:[Rank]],3,FALSE)/100))</f>
        <v>3333193099.6999998</v>
      </c>
      <c r="AS63" s="827">
        <f ca="1">AH63</f>
        <v>4</v>
      </c>
      <c r="AT63" s="827"/>
      <c r="AU63" s="827">
        <f ca="1">IFERROR(AR63-VLOOKUP(AI63,$AB$62:$AC$65,2,0),AR63)</f>
        <v>3333193099.6999998</v>
      </c>
      <c r="AV63" s="827"/>
      <c r="AX63" s="827"/>
      <c r="AY63" s="834" t="str">
        <f ca="1">AI63</f>
        <v>Ghana</v>
      </c>
      <c r="AZ63" s="827">
        <f ca="1">COUNTIF(AJ62:AJ65,AJ63)</f>
        <v>1</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2</v>
      </c>
      <c r="BE63" s="835">
        <v>0</v>
      </c>
      <c r="BF63" s="835">
        <f t="array" aca="1" ref="BF63" ca="1">SUMIFS($K$60:$K$65,$I$60:$I$65,$AY63,$K$60:$K$65,"&lt;&gt;",$L$60:$L$65,"&lt;&gt;",$N$60:$N$65,BF61)+SUMIFS($L$60:$L$65,$I$60:$I$65,BF61,$K$60:$K$65,"&lt;&gt;",$L$60:$L$65,"&lt;&gt;",$N$60:$N$65,$AY63)</f>
        <v>0</v>
      </c>
      <c r="BG63" s="835">
        <f t="array" aca="1" ref="BG63" ca="1">SUMIFS($K$60:$K$65,$I$60:$I$65,$AY63,$K$60:$K$65,"&lt;&gt;",$L$60:$L$65,"&lt;&gt;",$N$60:$N$65,BG61)+SUMIFS($L$60:$L$65,$I$60:$I$65,BG61,$K$60:$K$65,"&lt;&gt;",$L$60:$L$65,"&lt;&gt;",$N$60:$N$65,$AY63)</f>
        <v>3</v>
      </c>
      <c r="BH63" s="835">
        <f ca="1">RANK(BI63,BI62:BI65,1)</f>
        <v>1</v>
      </c>
      <c r="BI63" s="835">
        <f ca="1">SUM(IF(AND(AJ63=AJ64,AQ63=AQ64,AO63=AO64),BL63,0),IF(AND(AJ63=AJ65,AQ63=AQ65,AO63=AO65),BM63,0),IF(AND(AJ63=AJ62,AQ63=AQ62,AO63=AO62),BJ63,0))</f>
        <v>0</v>
      </c>
      <c r="BJ63" s="835">
        <f ca="1">BD63-BE62</f>
        <v>-1</v>
      </c>
      <c r="BK63" s="835">
        <v>0</v>
      </c>
      <c r="BL63" s="835">
        <f ca="1">BF63-BE64</f>
        <v>-2</v>
      </c>
      <c r="BM63" s="835">
        <f ca="1">BG63-BE65</f>
        <v>1</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3</v>
      </c>
      <c r="BT63" s="829">
        <v>2</v>
      </c>
      <c r="BU63" s="829">
        <f ca="1">RANK(BW63,$BW$62:$BW$65)</f>
        <v>4</v>
      </c>
      <c r="BV63" s="829" t="str">
        <f ca="1">A62</f>
        <v>Ghana</v>
      </c>
      <c r="BW63" s="829">
        <f t="shared" ca="1" si="8"/>
        <v>3333193099.6999998</v>
      </c>
      <c r="BX63" s="829" t="str">
        <f ca="1">VLOOKUP(Q63,$AH$62:$AI$65,2,0)</f>
        <v>Corea del Sur</v>
      </c>
      <c r="BY63" s="829">
        <f ca="1">VLOOKUP($BX63,$AI$62:$AR$65,10,FALSE)</f>
        <v>4444212599.6800003</v>
      </c>
      <c r="CA63" s="829">
        <v>2</v>
      </c>
      <c r="CB63" s="829" t="str">
        <f ca="1">VLOOKUP(CA63,$AH$62:$AI$65,2,0)</f>
        <v>Corea del Sur</v>
      </c>
      <c r="CC63" s="829">
        <f ca="1">VLOOKUP(CB63,$AI$62:$AR$65,2,FALSE)</f>
        <v>4</v>
      </c>
      <c r="CD63" s="836">
        <f ca="1">IF(SUM($AK$62:$AK$65)=12,MIN(ABS(BY62-BY63),ABS(BY63-BY64)),100)</f>
        <v>999.99000072479248</v>
      </c>
      <c r="CE63" s="829">
        <f ca="1">VLOOKUP($CB63,$AI$62:$AR$65,9,FALSE)</f>
        <v>0</v>
      </c>
      <c r="CF63" s="829">
        <f ca="1">VLOOKUP($CB63,$AI$62:$AR$65,7,FALSE)</f>
        <v>4</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0</v>
      </c>
      <c r="CS63" s="827">
        <f t="array" aca="1" ref="CS63" ca="1">IF(AND($CC$63&lt;&gt;$CC$62,$CC$63&lt;&gt;$CC$64),1,0)</f>
        <v>0</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6"/>
      <c r="F64" s="442">
        <f>Horarios!C64</f>
        <v>44897.75</v>
      </c>
      <c r="G64" s="443">
        <f>Horarios!C64</f>
        <v>44897.75</v>
      </c>
      <c r="H64" s="442" t="s">
        <v>74</v>
      </c>
      <c r="I64" s="444" t="str">
        <f ca="1">A62</f>
        <v>Ghana</v>
      </c>
      <c r="J64" s="445" t="str">
        <f ca="1">VLOOKUP(I64,Equipos!$H$2:$I$33,2,0)</f>
        <v>🇬🇭</v>
      </c>
      <c r="K64" s="455">
        <v>0</v>
      </c>
      <c r="L64" s="455">
        <v>2</v>
      </c>
      <c r="M64" s="446" t="str">
        <f ca="1">VLOOKUP(N64,Equipos!$H$2:$I$33,2,0)</f>
        <v>🇺🇾</v>
      </c>
      <c r="N64" s="463" t="str">
        <f ca="1">A63</f>
        <v>Uruguay</v>
      </c>
      <c r="O64" s="385">
        <f t="shared" si="46"/>
        <v>1</v>
      </c>
      <c r="P64" s="88"/>
      <c r="Q64" s="482">
        <v>3</v>
      </c>
      <c r="R64" s="4" t="str">
        <f ca="1">VLOOKUP(Q64,$AG$62:$AI$65,3,0)</f>
        <v>Uruguay</v>
      </c>
      <c r="S64" s="3">
        <f ca="1">VLOOKUP(R64,$AI$62:$AR$65,2,FALSE)</f>
        <v>4</v>
      </c>
      <c r="T64" s="3">
        <f ca="1">VLOOKUP($R64,$AI$62:$AR$65,3,FALSE)</f>
        <v>3</v>
      </c>
      <c r="U64" s="3">
        <f ca="1">VLOOKUP($R64,$AI$62:$AR$65,4,FALSE)</f>
        <v>1</v>
      </c>
      <c r="V64" s="3">
        <f ca="1">VLOOKUP($R64,$AI$62:$AR$65,5,FALSE)</f>
        <v>1</v>
      </c>
      <c r="W64" s="3">
        <f ca="1">VLOOKUP($R64,$AI$62:$AR$65,6,FALSE)</f>
        <v>1</v>
      </c>
      <c r="X64" s="3">
        <f ca="1">VLOOKUP($R64,$AI$62:$AR$65,7,FALSE)</f>
        <v>2</v>
      </c>
      <c r="Y64" s="3">
        <f ca="1">VLOOKUP($R64,$AI$62:$AR$65,8,FALSE)</f>
        <v>2</v>
      </c>
      <c r="Z64" s="483">
        <f ca="1">VLOOKUP($R64,$AI$62:$AR$65,9,FALSE)</f>
        <v>0</v>
      </c>
      <c r="AA64" s="395">
        <f ca="1">IF(SUM($AK$62:$AK$65)=12,MIN(ABS(BY63-BY64),ABS(BY64-BY65)),100)</f>
        <v>999.99000072479248</v>
      </c>
      <c r="AB64" s="101" t="str">
        <f ca="1">IF(AND(AA64&gt;=0,AA64&lt;90),VLOOKUP(Q64,$BU$62:$BV$65,2,0),"")</f>
        <v/>
      </c>
      <c r="AC64" s="78"/>
      <c r="AD64" s="79"/>
      <c r="AE64" s="365"/>
      <c r="AF64" s="828">
        <f ca="1">VLOOKUP($R64,$AI$62:$AR$65,10,FALSE)</f>
        <v>4444211599.6899996</v>
      </c>
      <c r="AG64" s="827">
        <f ca="1">RANK(AU64,$AU$62:$AU$65)</f>
        <v>3</v>
      </c>
      <c r="AH64" s="827">
        <f ca="1">RANK(AR64,$AR$62:$AR$65)</f>
        <v>3</v>
      </c>
      <c r="AI64" s="829" t="str">
        <f ca="1">A63</f>
        <v>Uruguay</v>
      </c>
      <c r="AJ64" s="827">
        <f ca="1">AL64*3+AM64*1+AN64*0</f>
        <v>4</v>
      </c>
      <c r="AK64" s="827">
        <f ca="1">COUNTIFS($I$4:$I$65,AI64,$K$4:$K$65,"&lt;&gt;",$L$4:$L$65,"&lt;&gt;")+COUNTIFS($N$4:$N$65,AI64,$L$4:$L$65,"&lt;&gt;",$K$4:$K$65,"&lt;&gt;")</f>
        <v>3</v>
      </c>
      <c r="AL64" s="827">
        <f t="array" aca="1" ref="AL64" ca="1">SUM(($I$4:$I$65=AI64)*($K$4:$K$65&lt;&gt;"")*($L$4:$L$65&lt;&gt;"")*($K$4:$K$65&gt;$L$4:$L$65),($N$4:$N$65=AI64)*($K$4:$K$65&lt;&gt;"")*($L$4:$L$65&lt;&gt;"")*($K$4:$K$65&lt;$L$4:$L$65))</f>
        <v>1</v>
      </c>
      <c r="AM64" s="827">
        <f t="array" aca="1" ref="AM64" ca="1">SUM(($I$4:$I$65=AI64)*($K$4:$K$65&lt;&gt;"")*($L$4:$L$65&lt;&gt;"")*($K$4:$K$65=$L$4:$L$65),($N$4:$N$65=AI64)*($K$4:$K$65&lt;&gt;"")*($L$4:$L$65&lt;&gt;"")*($K$4:$K$65=$L$4:$L$65))</f>
        <v>1</v>
      </c>
      <c r="AN64" s="827">
        <f t="array" aca="1" ref="AN64" ca="1">SUM(($I$4:$I$65=AI64)*($L$4:$L$65&lt;&gt;"")*($K$4:$K$65&lt;&gt;"")*($K$4:$K$65&lt;$L$4:$L$65),($K$4:$K$65&lt;&gt;"")*($N$4:$N$65=AI64)*($L$4:$L$65&lt;&gt;"")*($K$4:$K$65&gt;$L$4:$L$65))</f>
        <v>1</v>
      </c>
      <c r="AO64" s="827">
        <f t="array" aca="1" ref="AO64" ca="1">SUMIFS($K$4:$K$65,$I$4:$I$65,AI64,$K$4:$K$65,"&lt;&gt;",$L$4:$L$65,"&lt;&gt;")+SUMIFS($L$4:$L$65,$N$4:$N$65,AI64,$K$4:$K$65,"&lt;&gt;",$L$4:$L$65,"&lt;&gt;")</f>
        <v>2</v>
      </c>
      <c r="AP64" s="827">
        <f t="array" aca="1" ref="AP64" ca="1">SUMIFS($K$4:$K$65,$N$4:$N$65,AI64,$K$4:$K$65,"&lt;&gt;",$L$4:$L$65,"&lt;&gt;")+SUMIFS($L$4:$L$65,$I$4:$I$65,AI64,$K$4:$K$65,"&lt;&gt;",$L$4:$L$65,"&lt;&gt;")</f>
        <v>2</v>
      </c>
      <c r="AQ64" s="827">
        <f ca="1">AO64-AP64</f>
        <v>0</v>
      </c>
      <c r="AR64" s="827">
        <f ca="1">IF(AK64=0,-($AW$11*VLOOKUP(AI64,Tabla3[[NombreEquipo]:[Rank]],3,FALSE)),AJ64*$AW$4+BA64+AQ64*$AW$8+AO64*$AW$9+AL64*$AW$10-($AW$11*VLOOKUP(AI64,Tabla3[[NombreEquipo]:[Rank]],3,FALSE)/100))</f>
        <v>4444211599.6899996</v>
      </c>
      <c r="AS64" s="827">
        <f ca="1">AH64</f>
        <v>3</v>
      </c>
      <c r="AT64" s="827"/>
      <c r="AU64" s="827">
        <f ca="1">IFERROR(AR64-VLOOKUP(AI64,$AB$62:$AC$65,2,0),AR64)</f>
        <v>4444211599.6899996</v>
      </c>
      <c r="AV64" s="827"/>
      <c r="AX64" s="827"/>
      <c r="AY64" s="834" t="str">
        <f ca="1">AI64</f>
        <v>Uruguay</v>
      </c>
      <c r="AZ64" s="827">
        <f ca="1">COUNTIF(AJ62:AJ65,AJ64)</f>
        <v>2</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0</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0</v>
      </c>
      <c r="BH64" s="835">
        <f ca="1">RANK(BI64,BI62:BI65,1)</f>
        <v>1</v>
      </c>
      <c r="BI64" s="835">
        <f ca="1">SUM(IF(AND(AJ64=AJ65,AQ64=AQ65,AO64=AO65),BM64,0),IF(AND(AJ64=AJ62,AQ64=AQ62,AO64=AO62),BJ64,0),IF(AND(AJ64=AJ63,AQ64=AQ63,AO64=AO63),BK64,0))</f>
        <v>0</v>
      </c>
      <c r="BJ64" s="835">
        <f ca="1">BD64-BF62</f>
        <v>-2</v>
      </c>
      <c r="BK64" s="835">
        <f ca="1">BE64-BF63</f>
        <v>2</v>
      </c>
      <c r="BL64" s="835">
        <v>0</v>
      </c>
      <c r="BM64" s="835">
        <f ca="1">BG64-BF65</f>
        <v>0</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0</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1</v>
      </c>
      <c r="BT64" s="829">
        <v>3</v>
      </c>
      <c r="BU64" s="829">
        <f ca="1">RANK(BW64,$BW$62:$BW$65)</f>
        <v>3</v>
      </c>
      <c r="BV64" s="829" t="str">
        <f ca="1">A63</f>
        <v>Uruguay</v>
      </c>
      <c r="BW64" s="829">
        <f t="shared" ca="1" si="8"/>
        <v>4444211599.6899996</v>
      </c>
      <c r="BX64" s="829" t="str">
        <f ca="1">VLOOKUP(Q64,$AH$62:$AI$65,2,0)</f>
        <v>Uruguay</v>
      </c>
      <c r="BY64" s="829">
        <f ca="1">VLOOKUP($BX64,$AI$62:$AR$65,10,FALSE)</f>
        <v>4444211599.6899996</v>
      </c>
      <c r="CA64" s="829">
        <v>3</v>
      </c>
      <c r="CB64" s="829" t="str">
        <f ca="1">VLOOKUP(CA64,$AH$62:$AI$65,2,0)</f>
        <v>Uruguay</v>
      </c>
      <c r="CC64" s="829">
        <f ca="1">VLOOKUP(CB64,$AI$62:$AR$65,2,FALSE)</f>
        <v>4</v>
      </c>
      <c r="CD64" s="836">
        <f ca="1">IF(SUM($AK$62:$AK$65)=12,MIN(ABS(BY63-BY64),ABS(BY64-BY65)),100)</f>
        <v>999.99000072479248</v>
      </c>
      <c r="CE64" s="829">
        <f ca="1">VLOOKUP($CB64,$AI$62:$AR$65,9,FALSE)</f>
        <v>0</v>
      </c>
      <c r="CF64" s="829">
        <f ca="1">VLOOKUP($CB64,$AI$62:$AR$65,7,FALSE)</f>
        <v>2</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0</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0</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77"/>
      <c r="F65" s="464">
        <f>Horarios!C65</f>
        <v>44897.75</v>
      </c>
      <c r="G65" s="465">
        <f>Horarios!C65</f>
        <v>44897.75</v>
      </c>
      <c r="H65" s="464" t="s">
        <v>74</v>
      </c>
      <c r="I65" s="466" t="str">
        <f ca="1">A64</f>
        <v>Corea del Sur</v>
      </c>
      <c r="J65" s="467" t="str">
        <f ca="1">VLOOKUP(I65,Equipos!$H$2:$I$33,2,0)</f>
        <v>🇰🇷</v>
      </c>
      <c r="K65" s="468">
        <v>2</v>
      </c>
      <c r="L65" s="468">
        <v>1</v>
      </c>
      <c r="M65" s="469" t="str">
        <f ca="1">VLOOKUP(N65,Equipos!$H$2:$I$33,2,0)</f>
        <v>🇵🇹</v>
      </c>
      <c r="N65" s="470" t="str">
        <f ca="1">A61</f>
        <v>Portugal</v>
      </c>
      <c r="O65" s="385">
        <f t="shared" si="46"/>
        <v>1</v>
      </c>
      <c r="P65" s="88"/>
      <c r="Q65" s="484">
        <v>4</v>
      </c>
      <c r="R65" s="485" t="str">
        <f ca="1">VLOOKUP(Q65,$AG$62:$AI$65,3,0)</f>
        <v>Ghana</v>
      </c>
      <c r="S65" s="486">
        <f ca="1">VLOOKUP(R65,$AI$62:$AR$65,2,FALSE)</f>
        <v>3</v>
      </c>
      <c r="T65" s="486">
        <f ca="1">VLOOKUP($R65,$AI$62:$AR$65,3,FALSE)</f>
        <v>3</v>
      </c>
      <c r="U65" s="486">
        <f ca="1">VLOOKUP($R65,$AI$62:$AR$65,4,FALSE)</f>
        <v>1</v>
      </c>
      <c r="V65" s="486">
        <f ca="1">VLOOKUP($R65,$AI$62:$AR$65,5,FALSE)</f>
        <v>0</v>
      </c>
      <c r="W65" s="486">
        <f ca="1">VLOOKUP($R65,$AI$62:$AR$65,6,FALSE)</f>
        <v>2</v>
      </c>
      <c r="X65" s="486">
        <f ca="1">VLOOKUP($R65,$AI$62:$AR$65,7,FALSE)</f>
        <v>5</v>
      </c>
      <c r="Y65" s="486">
        <f ca="1">VLOOKUP($R65,$AI$62:$AR$65,8,FALSE)</f>
        <v>7</v>
      </c>
      <c r="Z65" s="487">
        <f ca="1">VLOOKUP($R65,$AI$62:$AR$65,9,FALSE)</f>
        <v>-2</v>
      </c>
      <c r="AA65" s="395">
        <f ca="1">IF(SUM($AK$62:$AK$65)=12,MIN(ABS(BY64-BY65),ABS(BY65-BY66)),100)</f>
        <v>1111018499.9899998</v>
      </c>
      <c r="AB65" s="101" t="str">
        <f ca="1">IF(AND(AA65&gt;=0,AA65&lt;90),VLOOKUP(Q65,$BU$62:$BV$65,2,0),"")</f>
        <v/>
      </c>
      <c r="AC65" s="78"/>
      <c r="AD65" s="79"/>
      <c r="AE65" s="365"/>
      <c r="AF65" s="828">
        <f ca="1">VLOOKUP($R65,$AI$62:$AR$65,10,FALSE)</f>
        <v>3333193099.6999998</v>
      </c>
      <c r="AG65" s="827">
        <f ca="1">RANK(AU65,$AU$62:$AU$65)</f>
        <v>2</v>
      </c>
      <c r="AH65" s="827">
        <f ca="1">RANK(AR65,$AR$62:$AR$65)</f>
        <v>2</v>
      </c>
      <c r="AI65" s="829" t="str">
        <f ca="1">A64</f>
        <v>Corea del Sur</v>
      </c>
      <c r="AJ65" s="827">
        <f ca="1">AL65*3+AM65*1+AN65*0</f>
        <v>4</v>
      </c>
      <c r="AK65" s="827">
        <f ca="1">COUNTIFS($I$4:$I$65,AI65,$K$4:$K$65,"&lt;&gt;",$L$4:$L$65,"&lt;&gt;")+COUNTIFS($N$4:$N$65,AI65,$L$4:$L$65,"&lt;&gt;",$K$4:$K$65,"&lt;&gt;")</f>
        <v>3</v>
      </c>
      <c r="AL65" s="827">
        <f t="array" aca="1" ref="AL65" ca="1">SUM(($I$4:$I$65=AI65)*($K$4:$K$65&lt;&gt;"")*($L$4:$L$65&lt;&gt;"")*($K$4:$K$65&gt;$L$4:$L$65),($N$4:$N$65=AI65)*($K$4:$K$65&lt;&gt;"")*($L$4:$L$65&lt;&gt;"")*($K$4:$K$65&lt;$L$4:$L$65))</f>
        <v>1</v>
      </c>
      <c r="AM65" s="827">
        <f t="array" aca="1" ref="AM65" ca="1">SUM(($I$4:$I$65=AI65)*($K$4:$K$65&lt;&gt;"")*($L$4:$L$65&lt;&gt;"")*($K$4:$K$65=$L$4:$L$65),($N$4:$N$65=AI65)*($K$4:$K$65&lt;&gt;"")*($L$4:$L$65&lt;&gt;"")*($K$4:$K$65=$L$4:$L$65))</f>
        <v>1</v>
      </c>
      <c r="AN65" s="827">
        <f t="array" aca="1" ref="AN65" ca="1">SUM(($I$4:$I$65=AI65)*($L$4:$L$65&lt;&gt;"")*($K$4:$K$65&lt;&gt;"")*($K$4:$K$65&lt;$L$4:$L$65),($K$4:$K$65&lt;&gt;"")*($N$4:$N$65=AI65)*($L$4:$L$65&lt;&gt;"")*($K$4:$K$65&gt;$L$4:$L$65))</f>
        <v>1</v>
      </c>
      <c r="AO65" s="827">
        <f t="array" aca="1" ref="AO65" ca="1">SUMIFS($K$4:$K$65,$I$4:$I$65,AI65,$K$4:$K$65,"&lt;&gt;",$L$4:$L$65,"&lt;&gt;")+SUMIFS($L$4:$L$65,$N$4:$N$65,AI65,$K$4:$K$65,"&lt;&gt;",$L$4:$L$65,"&lt;&gt;")</f>
        <v>4</v>
      </c>
      <c r="AP65" s="827">
        <f t="array" aca="1" ref="AP65" ca="1">SUMIFS($K$4:$K$65,$N$4:$N$65,AI65,$K$4:$K$65,"&lt;&gt;",$L$4:$L$65,"&lt;&gt;")+SUMIFS($L$4:$L$65,$I$4:$I$65,AI65,$K$4:$K$65,"&lt;&gt;",$L$4:$L$65,"&lt;&gt;")</f>
        <v>4</v>
      </c>
      <c r="AQ65" s="827">
        <f ca="1">AO65-AP65</f>
        <v>0</v>
      </c>
      <c r="AR65" s="827">
        <f ca="1">IF(AK65=0,-($AW$11*VLOOKUP(AI65,Tabla3[[NombreEquipo]:[Rank]],3,FALSE)),AJ65*$AW$4+BA65+AQ65*$AW$8+AO65*$AW$9+AL65*$AW$10-($AW$11*VLOOKUP(AI65,Tabla3[[NombreEquipo]:[Rank]],3,FALSE)/100))</f>
        <v>4444212599.6800003</v>
      </c>
      <c r="AS65" s="827">
        <f ca="1">AH65</f>
        <v>2</v>
      </c>
      <c r="AT65" s="827"/>
      <c r="AU65" s="827">
        <f ca="1">IFERROR(AR65-VLOOKUP(AI65,$AB$62:$AC$65,2,0),AR65)</f>
        <v>4444212599.6800003</v>
      </c>
      <c r="AV65" s="827"/>
      <c r="AX65" s="827"/>
      <c r="AY65" s="834" t="str">
        <f ca="1">AI65</f>
        <v>Corea del Sur</v>
      </c>
      <c r="AZ65" s="827">
        <f ca="1">COUNTIF(AJ62:AJ65,AJ65)</f>
        <v>2</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2</v>
      </c>
      <c r="BE65" s="835">
        <f t="array" aca="1" ref="BE65" ca="1">SUMIFS($K$60:$K$65,$I$60:$I$65,$AY65,$K$60:$K$65,"&lt;&gt;",$L$60:$L$65,"&lt;&gt;",$N$60:$N$65,BE61)+SUMIFS($L$60:$L$65,$I$60:$I$65,BE61,$K$60:$K$65,"&lt;&gt;",$L$60:$L$65,"&lt;&gt;",$N$60:$N$65,$AY65)</f>
        <v>2</v>
      </c>
      <c r="BF65" s="835">
        <f t="array" aca="1" ref="BF65" ca="1">SUMIFS($K$60:$K$65,$I$60:$I$65,$AY65,$K$60:$K$65,"&lt;&gt;",$L$60:$L$65,"&lt;&gt;",$N$60:$N$65,BF61)+SUMIFS($L$60:$L$65,$I$60:$I$65,BF61,$K$60:$K$65,"&lt;&gt;",$L$60:$L$65,"&lt;&gt;",$N$60:$N$65,$AY65)</f>
        <v>0</v>
      </c>
      <c r="BG65" s="835">
        <v>0</v>
      </c>
      <c r="BH65" s="835">
        <f ca="1">RANK(BI65,BI62:BI65,1)</f>
        <v>1</v>
      </c>
      <c r="BI65" s="835">
        <f ca="1">SUM(IF(AND(AJ65=AJ62,AQ65=AQ62,AO65=AO62),BJ65,0),IF(AND(AJ65=AJ63,AQ65=AQ63,AO65=AO63),BK65,0),IF(AND(AJ65=AJ64,AQ65=AQ64,AO65=AO64),BL65,0))</f>
        <v>0</v>
      </c>
      <c r="BJ65" s="835">
        <f ca="1">BD65-BG62</f>
        <v>1</v>
      </c>
      <c r="BK65" s="835">
        <f ca="1">BE65-BG63</f>
        <v>-1</v>
      </c>
      <c r="BL65" s="835">
        <f ca="1">BF65-BG64</f>
        <v>0</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3</v>
      </c>
      <c r="BQ65" s="835">
        <f t="array" aca="1" ref="BQ65" ca="1">SUM((I$4:I$65=AY65)*(N$4:N$65=BQ61)*(K$4:K$65&lt;&gt;"")*(L$4:L$65&lt;&gt;"")*(K$4:K$65&gt;L$4:L$65)*3,(N$4:N$65=AY65)*(I$4:I$65=BQ61)*(K$4:K$65&lt;&gt;"")*(L$4:L$65&lt;&gt;"")*(K$4:K$65=L$4:L$65)*1,(N$4:N$65=AY65)*(I$4:I$65=BQ61)*(K$4:K$65&lt;&gt;"")*(L$4:L$65&lt;&gt;"")*(K$4:K$65&lt;L$4:L$65)*3,(I$4:I$65=AY65)*(N$4:N$65=BQ61)*(K$4:K$65&lt;&gt;"")*(L$4:L$65&lt;&gt;"")*(K$4:K$65=L$4:L$65)*1)</f>
        <v>0</v>
      </c>
      <c r="BR65" s="835">
        <f t="array" aca="1" ref="BR65" ca="1">SUM((I$4:I$65=AY65)*(N$4:N$65=BR61)*(K$4:K$65&lt;&gt;"")*(L$4:L$65&lt;&gt;"")*(K$4:K$65&gt;L$4:L$65)*3,(N$4:N$65=AY65)*(I$4:I$65=BR61)*(K$4:K$65&lt;&gt;"")*(L$4:L$65&lt;&gt;"")*(K$4:K$65=L$4:L$65)*1,(N$4:N$65=AY65)*(I$4:I$65=BR61)*(K$4:K$65&lt;&gt;"")*(L$4:L$65&lt;&gt;"")*(K$4:K$65&lt;L$4:L$65)*3,(I$4:I$65=AY65)*(N$4:N$65=BR61)*(K$4:K$65&lt;&gt;"")*(L$4:L$65&lt;&gt;"")*(K$4:K$65=L$4:L$65)*1)</f>
        <v>1</v>
      </c>
      <c r="BS65" s="835">
        <v>0</v>
      </c>
      <c r="BT65" s="829">
        <v>4</v>
      </c>
      <c r="BU65" s="829">
        <f ca="1">RANK(BW65,$BW$62:$BW$65)</f>
        <v>2</v>
      </c>
      <c r="BV65" s="829" t="str">
        <f ca="1">A64</f>
        <v>Corea del Sur</v>
      </c>
      <c r="BW65" s="829">
        <f t="shared" ca="1" si="8"/>
        <v>4444212599.6800003</v>
      </c>
      <c r="BX65" s="829" t="str">
        <f ca="1">VLOOKUP(Q65,$AH$62:$AI$65,2,0)</f>
        <v>Ghana</v>
      </c>
      <c r="BY65" s="829">
        <f ca="1">VLOOKUP($BX65,$AI$62:$AR$65,10,FALSE)</f>
        <v>3333193099.6999998</v>
      </c>
      <c r="CA65" s="829">
        <v>4</v>
      </c>
      <c r="CB65" s="829" t="str">
        <f ca="1">VLOOKUP(CA65,$AH$62:$AI$65,2,0)</f>
        <v>Ghana</v>
      </c>
      <c r="CC65" s="829">
        <f ca="1">VLOOKUP(CB65,$AI$62:$AR$65,2,FALSE)</f>
        <v>3</v>
      </c>
      <c r="CD65" s="836">
        <f ca="1">IF(SUM($AK$62:$AK$65)=12,MIN(ABS(BY64-BY65),ABS(BY65-BY66)),100)</f>
        <v>1111018499.9899998</v>
      </c>
      <c r="CE65" s="829">
        <f ca="1">VLOOKUP($CB65,$AI$62:$AR$65,9,FALSE)</f>
        <v>-2</v>
      </c>
      <c r="CF65" s="829">
        <f ca="1">VLOOKUP($CB65,$AI$62:$AR$65,7,FALSE)</f>
        <v>5</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19" t="s">
        <v>137</v>
      </c>
      <c r="F69" s="190">
        <f>Horarios!C68</f>
        <v>44898.75</v>
      </c>
      <c r="G69" s="191">
        <f>Horarios!C68</f>
        <v>44898.75</v>
      </c>
      <c r="H69" s="192"/>
      <c r="I69" s="193" t="str">
        <f ca="1">IF(SUM(AK6:AK9)=12,VLOOKUP(1,AG6:AI9,3,FALSE),"1A")</f>
        <v>Paises Bajos</v>
      </c>
      <c r="J69" s="194"/>
      <c r="K69" s="195">
        <v>3</v>
      </c>
      <c r="L69" s="195">
        <v>1</v>
      </c>
      <c r="M69" s="196"/>
      <c r="N69" s="197" t="str">
        <f t="array" aca="1" ref="N69" ca="1">IF(SUM(AK14:AK17)=12,VLOOKUP(2,AG14:AI17,3,FALSE),"2B")</f>
        <v>Estados unidos</v>
      </c>
      <c r="O69" s="390">
        <f ca="1">IF(I81="W49",0,1)</f>
        <v>1</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2"/>
      <c r="F70" s="177">
        <f>Horarios!C69</f>
        <v>44898.916666666664</v>
      </c>
      <c r="G70" s="178">
        <f>Horarios!C69</f>
        <v>44898.916666666664</v>
      </c>
      <c r="H70" s="179"/>
      <c r="I70" s="180" t="str">
        <f ca="1">IF(SUM(AK22:AK25)=12,VLOOKUP(1,AG22:AI25,3,FALSE),"1C")</f>
        <v>Argentina</v>
      </c>
      <c r="J70" s="181"/>
      <c r="K70" s="219">
        <v>2</v>
      </c>
      <c r="L70" s="219">
        <v>1</v>
      </c>
      <c r="M70" s="181"/>
      <c r="N70" s="198" t="str">
        <f ca="1">IF(SUM(AK30:AK33)=12,VLOOKUP(2,AG30:AI33,3,FALSE),"2D")</f>
        <v>Australia</v>
      </c>
      <c r="O70" s="390">
        <f ca="1">IF(N81="W50",0,1)</f>
        <v>1</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2"/>
      <c r="F71" s="177">
        <f>Horarios!C70</f>
        <v>44899.75</v>
      </c>
      <c r="G71" s="178">
        <f>Horarios!C70</f>
        <v>44899.75</v>
      </c>
      <c r="H71" s="183"/>
      <c r="I71" s="180" t="str">
        <f ca="1">IF(SUM(AK30:AK33)=12,VLOOKUP(1,AG30:AI33,3,FALSE),"1D")</f>
        <v>Francia</v>
      </c>
      <c r="J71" s="181"/>
      <c r="K71" s="219">
        <v>3</v>
      </c>
      <c r="L71" s="219">
        <v>1</v>
      </c>
      <c r="M71" s="181"/>
      <c r="N71" s="198" t="str">
        <f ca="1">IF(SUM(AK22:AK25)=12,VLOOKUP(2,AG22:AI25,3,FALSE),"2C")</f>
        <v>Polonia</v>
      </c>
      <c r="O71" s="390">
        <f ca="1">IF(N83="W52",0,1)</f>
        <v>1</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2"/>
      <c r="F72" s="177">
        <f>Horarios!C71</f>
        <v>44899.916666666664</v>
      </c>
      <c r="G72" s="178">
        <f>Horarios!C71</f>
        <v>44899.916666666664</v>
      </c>
      <c r="H72" s="183"/>
      <c r="I72" s="222" t="str">
        <f ca="1">IF(SUM(AK14:AK17)=12,VLOOKUP(1,AG14:AI17,3,FALSE),"1B")</f>
        <v>Inglaterra</v>
      </c>
      <c r="J72" s="181"/>
      <c r="K72" s="219">
        <v>3</v>
      </c>
      <c r="L72" s="219">
        <v>0</v>
      </c>
      <c r="M72" s="181"/>
      <c r="N72" s="218" t="str">
        <f ca="1">IF(SUM(AK6:AK9)=12,VLOOKUP(2,AG6:AI9,3,FALSE),"2A")</f>
        <v>Senegal</v>
      </c>
      <c r="O72" s="390">
        <f ca="1">IF(I83="W51",0,1)</f>
        <v>1</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2"/>
      <c r="F73" s="177">
        <f>Horarios!C72</f>
        <v>44900.75</v>
      </c>
      <c r="G73" s="223">
        <f>Horarios!C72</f>
        <v>44900.75</v>
      </c>
      <c r="H73" s="179"/>
      <c r="I73" s="180" t="str">
        <f ca="1">IF(SUM(AK38:AK41)=12,VLOOKUP(1,AG38:AI41,3,FALSE),"1E")</f>
        <v>Japón</v>
      </c>
      <c r="J73" s="221">
        <v>1</v>
      </c>
      <c r="K73" s="219">
        <v>1</v>
      </c>
      <c r="L73" s="219">
        <v>1</v>
      </c>
      <c r="M73" s="220">
        <v>3</v>
      </c>
      <c r="N73" s="198" t="str">
        <f ca="1">IF(SUM(AK46:AK49)=12,VLOOKUP(2,AG46:AI49,3,FALSE),"2F")</f>
        <v>Croacia</v>
      </c>
      <c r="O73" s="390">
        <f ca="1">IF(I80="W53",0,1)</f>
        <v>1</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2"/>
      <c r="F74" s="177">
        <f>Horarios!C73</f>
        <v>44900.916666666664</v>
      </c>
      <c r="G74" s="178">
        <f>Horarios!C73</f>
        <v>44900.916666666664</v>
      </c>
      <c r="H74" s="179"/>
      <c r="I74" s="180" t="str">
        <f ca="1">IF(SUM(AK54:AK57)=12,VLOOKUP(1,AG54:AI57,3,FALSE),"1G")</f>
        <v>Brasil</v>
      </c>
      <c r="J74" s="181"/>
      <c r="K74" s="182">
        <v>4</v>
      </c>
      <c r="L74" s="182">
        <v>1</v>
      </c>
      <c r="M74" s="181"/>
      <c r="N74" s="198" t="str">
        <f ca="1">IF(SUM(AK62:AK65)=12,VLOOKUP(2,AG62:AI65,3,FALSE),"2H")</f>
        <v>Corea del Sur</v>
      </c>
      <c r="O74" s="390">
        <f ca="1">IF(N80="W54",0,1)</f>
        <v>1</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2"/>
      <c r="F75" s="177">
        <f>Horarios!C74</f>
        <v>44901.75</v>
      </c>
      <c r="G75" s="178">
        <f>Horarios!C74</f>
        <v>44901.75</v>
      </c>
      <c r="H75" s="183"/>
      <c r="I75" s="180" t="str">
        <f ca="1">IF(SUM(AK46:AK49)=12,VLOOKUP(1,AG46:AI49,3,FALSE),"1F")</f>
        <v>Marruecos</v>
      </c>
      <c r="J75" s="181">
        <v>3</v>
      </c>
      <c r="K75" s="182">
        <v>0</v>
      </c>
      <c r="L75" s="182">
        <v>0</v>
      </c>
      <c r="M75" s="181">
        <v>0</v>
      </c>
      <c r="N75" s="198" t="str">
        <f ca="1">IF(SUM(AK38:AK41)=12,VLOOKUP(2,AG38:AI41,3,FALSE),"2E")</f>
        <v>España</v>
      </c>
      <c r="O75" s="390">
        <f ca="1">IF(I82="W55",0,1)</f>
        <v>1</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3"/>
      <c r="F76" s="199">
        <f>Horarios!C75</f>
        <v>44901.916666666664</v>
      </c>
      <c r="G76" s="200">
        <f>Horarios!C75</f>
        <v>44901.916666666664</v>
      </c>
      <c r="H76" s="201"/>
      <c r="I76" s="202" t="str">
        <f ca="1">IF(SUM(AK62:AK65)=12,VLOOKUP(1,AG62:AI65,3,FALSE),"1H")</f>
        <v>Portugal</v>
      </c>
      <c r="J76" s="203"/>
      <c r="K76" s="204">
        <v>6</v>
      </c>
      <c r="L76" s="204">
        <v>1</v>
      </c>
      <c r="M76" s="203"/>
      <c r="N76" s="205" t="str">
        <f ca="1">IF(SUM(AK54:AK57)=12,VLOOKUP(2,AG54:AI57,3,FALSE),"2G")</f>
        <v>Suiza</v>
      </c>
      <c r="O76" s="390">
        <f ca="1">IF(N82="W56",0,1)</f>
        <v>1</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19" t="s">
        <v>81</v>
      </c>
      <c r="F80" s="190">
        <f>Horarios!C80</f>
        <v>44904.75</v>
      </c>
      <c r="G80" s="191">
        <f>Horarios!C80</f>
        <v>44904.75</v>
      </c>
      <c r="H80" s="192"/>
      <c r="I80" s="193" t="str">
        <f ca="1">IF(AND(OR(K73="",L73="")),"W53",IF(K73&gt;L73,I73,IF(K73&lt;L73,N73,IF(AND(K73=L73,J73=M73),"W53",IF(AND(K73=L73,OR(J73="",M73="")),"W53",IF(AND(K73=L73,J73&gt;M73),I73,N73))))))</f>
        <v>Croacia</v>
      </c>
      <c r="J80" s="194"/>
      <c r="K80" s="195">
        <v>0</v>
      </c>
      <c r="L80" s="195">
        <v>2</v>
      </c>
      <c r="M80" s="196"/>
      <c r="N80" s="197" t="str">
        <f ca="1">IF(AND(OR(K74="",L74="")),"W54",IF(K74&gt;L74,I74,IF(K74&lt;L74,N74,IF(AND(K74=L74,J74=M74),"W54",IF(AND(K74=L74,OR(J74="",M74="")),"W54",IF(AND(K74=L74,J74&gt;M74),I74,N74))))))</f>
        <v>Brasil</v>
      </c>
      <c r="O80" s="390">
        <f ca="1">IF(N86="W58",0,1)</f>
        <v>1</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0"/>
      <c r="F81" s="177">
        <f>Horarios!C81</f>
        <v>44904.916666666664</v>
      </c>
      <c r="G81" s="178">
        <f>Horarios!C81</f>
        <v>44904.916666666664</v>
      </c>
      <c r="H81" s="179"/>
      <c r="I81" s="180" t="str">
        <f ca="1">IF(AND(OR(K69="",L69="")),"W49",IF(K69&gt;L69,I69,IF(K69&lt;L69,N69,IF(AND(K69=L69,J69=M69),"W49",IF(AND(K69=L69,OR(J69="",M69="")),"W49",IF(AND(K69=L69,J69&gt;M69),I69,N69))))))</f>
        <v>Paises Bajos</v>
      </c>
      <c r="J81" s="181"/>
      <c r="K81" s="182">
        <v>1</v>
      </c>
      <c r="L81" s="182">
        <v>2</v>
      </c>
      <c r="M81" s="181"/>
      <c r="N81" s="198" t="str">
        <f ca="1">IF(AND(OR(K70="",L70="")),"W50",IF(K70&gt;L70,I70,IF(K70&lt;L70,N70,IF(AND(K70=L70,J70=M70),"W50",IF(AND(K70=L70,OR(J70="",M70="")),"W50",IF(AND(K70=L70,J70&gt;M70),I70,N70))))))</f>
        <v>Argentina</v>
      </c>
      <c r="O81" s="390">
        <f ca="1">IF(I86="W57",0,1)</f>
        <v>1</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0"/>
      <c r="F82" s="177">
        <f>Horarios!C82</f>
        <v>44905.75</v>
      </c>
      <c r="G82" s="178">
        <f>Horarios!C82</f>
        <v>44905.75</v>
      </c>
      <c r="H82" s="183"/>
      <c r="I82" s="180" t="str">
        <f ca="1">IF(AND(OR(K75="",L75="")),"W55",IF(K75&gt;L75,I75,IF(K75&lt;L75,N75,IF(AND(K75=L75,J75=M75),"W55",IF(AND(K75=L75,OR(J75="",M75="")),"W55",IF(AND(K75=L75,J75&gt;M75),I75,N75))))))</f>
        <v>Marruecos</v>
      </c>
      <c r="J82" s="181"/>
      <c r="K82" s="182">
        <v>0</v>
      </c>
      <c r="L82" s="182">
        <v>3</v>
      </c>
      <c r="M82" s="181"/>
      <c r="N82" s="198" t="str">
        <f ca="1">IF(AND(OR(K76="",L76="")),"W56",IF(K76&gt;L76,I76,IF(K76&lt;L76,N76,IF(AND(K76=L76,J76=M76),"W56",IF(AND(K76=L76,OR(J76="",M76="")),"W56",IF(AND(K76=L76,J76&gt;M76),I76,N76))))))</f>
        <v>Portugal</v>
      </c>
      <c r="O82" s="390">
        <f ca="1">IF(N87="W60",0,1)</f>
        <v>1</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1"/>
      <c r="F83" s="199">
        <f>Horarios!C83</f>
        <v>44905.916666666664</v>
      </c>
      <c r="G83" s="200">
        <f>Horarios!C83</f>
        <v>44905.916666666664</v>
      </c>
      <c r="H83" s="201"/>
      <c r="I83" s="202" t="str">
        <f ca="1">IF(AND(OR(K72="",L72="")),"W51",IF(K72&gt;L72,I72,IF(K72&lt;L72,N72,IF(AND(K72=L72,J72=M72),"W51",IF(AND(K72=L72,OR(J72="",M72="")),"W51",IF(AND(K72=L72,J72&gt;M72),I72,N72))))))</f>
        <v>Inglaterra</v>
      </c>
      <c r="J83" s="203">
        <v>3</v>
      </c>
      <c r="K83" s="204">
        <v>2</v>
      </c>
      <c r="L83" s="204">
        <v>2</v>
      </c>
      <c r="M83" s="203">
        <v>2</v>
      </c>
      <c r="N83" s="205" t="str">
        <f ca="1">IF(AND(OR(K71="",L71="")),"W52",IF(K71&gt;L71,I71,IF(K71&lt;L71,N71,IF(AND(K71=L71,J71=M71),"W52",IF(AND(K71=L71,OR(J71="",M71="")),"W52",IF(AND(K71=L71,J71&gt;M71),I71,N71))))))</f>
        <v>Francia</v>
      </c>
      <c r="O83" s="390">
        <f ca="1">IF(I87="W59",0,1)</f>
        <v>1</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7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17" t="s">
        <v>82</v>
      </c>
      <c r="F86" s="190">
        <f>Horarios!C86</f>
        <v>44908.916666666664</v>
      </c>
      <c r="G86" s="191">
        <f>Horarios!C86</f>
        <v>44908.916666666664</v>
      </c>
      <c r="H86" s="206"/>
      <c r="I86" s="193" t="str">
        <f ca="1">IF(AND(OR(K81="",L81="")),"W57",IF(K81&gt;L81,I81,IF(K81&lt;L81,N81,IF(AND(K81=L81,J81=M81),"W57",IF(AND(K81=L81,OR(J81="",M81="")),"WC57",IF(AND(K81=L81,J81&gt;M81),I81,N81))))))</f>
        <v>Argentina</v>
      </c>
      <c r="J86" s="207"/>
      <c r="K86" s="208"/>
      <c r="L86" s="208"/>
      <c r="M86" s="207"/>
      <c r="N86" s="209" t="str">
        <f ca="1">IF(AND(OR(K80="",L80="")),"W58",IF(K80&gt;L80,I80,IF(K80&lt;L80,N80,IF(AND(K80=L80,J80=M80),"W58",IF(AND(K80=L80,OR(J80="",M80="")),"W58",IF(AND(K80=L80,J80&gt;M80),I80,N80))))))</f>
        <v>Brasil</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75" thickBot="1">
      <c r="A87" s="810"/>
      <c r="B87" s="810"/>
      <c r="C87" s="810"/>
      <c r="D87" s="88"/>
      <c r="E87" s="918"/>
      <c r="F87" s="210">
        <f>Horarios!C87</f>
        <v>44909.916666666664</v>
      </c>
      <c r="G87" s="211">
        <f>Horarios!C87</f>
        <v>44909.916666666664</v>
      </c>
      <c r="H87" s="199"/>
      <c r="I87" s="202" t="str">
        <f ca="1">IF(AND(OR(K83="",L83="")),"W59",IF(K83&gt;L83,I83,IF(K83&lt;L83,N83,IF(AND(K83=L83,J83=M83),"W59",IF(AND(K83=L83,OR(J83="",M83="")),"W59",IF(AND(K83=L83,J83&gt;M83),I83,N83))))))</f>
        <v>Inglaterra</v>
      </c>
      <c r="J87" s="212"/>
      <c r="K87" s="213"/>
      <c r="L87" s="213"/>
      <c r="M87" s="212"/>
      <c r="N87" s="214" t="str">
        <f ca="1">IF(AND(OR(K82="",L82="")),"W60",IF(K82&gt;L82,I82,IF(K82&lt;L82,N82,IF(AND(K82=L82,J82=M82),"W60",IF(AND(K82=L82,OR(J82="",M82="")),"W60",IF(AND(K82=L82,J82&gt;M82),I82,N82))))))</f>
        <v>Portugal</v>
      </c>
      <c r="O87" s="390">
        <f>IF(N93="W62",0,1)</f>
        <v>0</v>
      </c>
      <c r="P87" s="822">
        <v>62</v>
      </c>
      <c r="Q87" s="157"/>
      <c r="R87" s="157"/>
      <c r="S87" s="157"/>
      <c r="T87" s="157"/>
      <c r="U87" s="157"/>
      <c r="V87" s="157"/>
      <c r="W87" s="157"/>
      <c r="X87" s="157"/>
      <c r="Y87" s="157"/>
      <c r="Z87" s="157"/>
      <c r="AA87" s="157"/>
      <c r="AB87" s="157"/>
      <c r="AC87" s="157"/>
      <c r="AD87" s="159"/>
      <c r="AE87" s="159"/>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159"/>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7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159"/>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75" thickBot="1">
      <c r="A90" s="810"/>
      <c r="B90" s="810"/>
      <c r="C90" s="810"/>
      <c r="D90" s="88"/>
      <c r="E90" s="176" t="s">
        <v>192</v>
      </c>
      <c r="F90" s="169">
        <f>Horarios!C90</f>
        <v>44912.75</v>
      </c>
      <c r="G90" s="170">
        <f>Horarios!C90</f>
        <v>44912.75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159"/>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159"/>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7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159"/>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159"/>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159"/>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159"/>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7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75">
      <c r="A97" s="810"/>
      <c r="B97" s="810"/>
      <c r="C97" s="810"/>
      <c r="D97" s="73"/>
      <c r="E97" s="360" t="s">
        <v>35</v>
      </c>
      <c r="F97" s="186"/>
      <c r="G97" s="186"/>
      <c r="H97" s="187"/>
      <c r="I97" s="899" t="str">
        <f>IF(AND(OR(K93="",L93="")),"WF",IF(K93&gt;L93,I93,IF(K93&lt;L93,N93,IF(AND(K93=L93,J93=M93),"WF",IF(AND(K93=L93,OR(J93="",M93="")),"WF",IF(AND(K93=L93,J93&gt;M93),I93,N93))))))</f>
        <v>WF</v>
      </c>
      <c r="J97" s="900"/>
      <c r="K97" s="900"/>
      <c r="L97" s="900"/>
      <c r="M97" s="900"/>
      <c r="N97" s="901"/>
      <c r="O97" s="390">
        <f>IF(I97="WF",0,1)</f>
        <v>0</v>
      </c>
      <c r="P97" s="73"/>
      <c r="Q97" s="884" t="str">
        <f ca="1">IF(SUM(COUNTIF(O4:O65,0),COUNTIF(O69:O109,0)&gt;0),"PORRA INCOMPLETA:","PORRA COMPLETA:")</f>
        <v>PORRA INCOMPLETA:</v>
      </c>
      <c r="R97" s="885"/>
      <c r="S97" s="885"/>
      <c r="T97" s="885"/>
      <c r="U97" s="885"/>
      <c r="V97" s="885"/>
      <c r="W97" s="885"/>
      <c r="X97" s="885"/>
      <c r="Y97" s="885"/>
      <c r="Z97" s="885"/>
      <c r="AA97" s="886"/>
      <c r="AB97" s="73"/>
      <c r="AC97" s="73"/>
      <c r="AD97" s="73"/>
      <c r="AE97" s="73"/>
      <c r="BI97" s="846"/>
      <c r="CD97" s="836"/>
      <c r="CH97" s="840"/>
      <c r="CI97" s="840"/>
    </row>
    <row r="98" spans="1:87" ht="15.75">
      <c r="A98" s="810"/>
      <c r="B98" s="810"/>
      <c r="C98" s="810"/>
      <c r="D98" s="73"/>
      <c r="E98" s="362" t="s">
        <v>36</v>
      </c>
      <c r="F98" s="184"/>
      <c r="G98" s="184"/>
      <c r="H98" s="185"/>
      <c r="I98" s="902" t="str">
        <f>IF(AND(OR(K93="",L93="")),"LF",IF(K93&gt;L93,N93,IF(K93&lt;L93,I93,IF(AND(K93=L93,J93=M93),"LF",IF(AND(K93=L93,OR(J93="",M93="")),"LF",IF(AND(K93=L93,J93&gt;M93),N93,I93))))))</f>
        <v>LF</v>
      </c>
      <c r="J98" s="903"/>
      <c r="K98" s="903"/>
      <c r="L98" s="903"/>
      <c r="M98" s="903"/>
      <c r="N98" s="904"/>
      <c r="O98" s="390">
        <f>IF(I98="LF",0,1)</f>
        <v>0</v>
      </c>
      <c r="P98" s="73"/>
      <c r="Q98" s="887"/>
      <c r="R98" s="888"/>
      <c r="S98" s="888"/>
      <c r="T98" s="888"/>
      <c r="U98" s="888"/>
      <c r="V98" s="888"/>
      <c r="W98" s="888"/>
      <c r="X98" s="888"/>
      <c r="Y98" s="888"/>
      <c r="Z98" s="888"/>
      <c r="AA98" s="889"/>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5" thickBot="1">
      <c r="A99" s="810"/>
      <c r="B99" s="810"/>
      <c r="C99" s="810"/>
      <c r="D99" s="73"/>
      <c r="E99" s="361" t="s">
        <v>198</v>
      </c>
      <c r="F99" s="188"/>
      <c r="G99" s="188"/>
      <c r="H99" s="189"/>
      <c r="I99" s="914" t="str">
        <f>IF(AND(OR(K90="",L90="")),"W34",IF(K90&gt;L90,I90,IF(K90&lt;L90,N90,IF(AND(K90=L90,J90=M90),"W34",IF(AND(K90=L90,OR(J90="",M90="")),"W34",IF(AND(K90=L90,J90&gt;M90),I90,N90))))))</f>
        <v>W34</v>
      </c>
      <c r="J99" s="915"/>
      <c r="K99" s="915"/>
      <c r="L99" s="915"/>
      <c r="M99" s="915"/>
      <c r="N99" s="916"/>
      <c r="O99" s="390">
        <f>IF(I99="W34",0,1)</f>
        <v>0</v>
      </c>
      <c r="P99" s="73"/>
      <c r="Q99" s="887"/>
      <c r="R99" s="888"/>
      <c r="S99" s="888"/>
      <c r="T99" s="888"/>
      <c r="U99" s="888"/>
      <c r="V99" s="888"/>
      <c r="W99" s="888"/>
      <c r="X99" s="888"/>
      <c r="Y99" s="888"/>
      <c r="Z99" s="888"/>
      <c r="AA99" s="889"/>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75" thickBot="1">
      <c r="A100" s="810"/>
      <c r="B100" s="810"/>
      <c r="C100" s="810"/>
      <c r="D100" s="73"/>
      <c r="E100" s="167"/>
      <c r="F100" s="167"/>
      <c r="G100" s="167"/>
      <c r="H100" s="167"/>
      <c r="I100" s="440"/>
      <c r="J100" s="367"/>
      <c r="K100" s="367"/>
      <c r="L100" s="367"/>
      <c r="M100" s="367"/>
      <c r="N100" s="367"/>
      <c r="O100" s="386"/>
      <c r="P100" s="73"/>
      <c r="Q100" s="890" t="str">
        <f ca="1">IF(SUM(COUNTIF(O4:O65,0),COUNTIF(O69:O109,0)&gt;0),"Aún falta algún pronóstico","Guarda el archivo y reenvíanoslo por email")</f>
        <v>Aún falta algún pronóstico</v>
      </c>
      <c r="R100" s="891"/>
      <c r="S100" s="891"/>
      <c r="T100" s="891"/>
      <c r="U100" s="891"/>
      <c r="V100" s="891"/>
      <c r="W100" s="891"/>
      <c r="X100" s="891"/>
      <c r="Y100" s="891"/>
      <c r="Z100" s="891"/>
      <c r="AA100" s="892"/>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75">
      <c r="A101" s="810"/>
      <c r="B101" s="810"/>
      <c r="C101" s="810"/>
      <c r="D101" s="73"/>
      <c r="E101" s="360" t="s">
        <v>200</v>
      </c>
      <c r="F101" s="186"/>
      <c r="G101" s="369"/>
      <c r="H101" s="187"/>
      <c r="I101" s="908" t="s">
        <v>39</v>
      </c>
      <c r="J101" s="909"/>
      <c r="K101" s="909"/>
      <c r="L101" s="909"/>
      <c r="M101" s="909"/>
      <c r="N101" s="910"/>
      <c r="O101" s="390">
        <f>IF(I101="Escribe un Jugador",0,IF(I101="",0,1))</f>
        <v>0</v>
      </c>
      <c r="P101" s="73"/>
      <c r="Q101" s="890"/>
      <c r="R101" s="891"/>
      <c r="S101" s="891"/>
      <c r="T101" s="891"/>
      <c r="U101" s="891"/>
      <c r="V101" s="891"/>
      <c r="W101" s="891"/>
      <c r="X101" s="891"/>
      <c r="Y101" s="891"/>
      <c r="Z101" s="891"/>
      <c r="AA101" s="892"/>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5" thickBot="1">
      <c r="A102" s="810"/>
      <c r="B102" s="810"/>
      <c r="C102" s="810"/>
      <c r="D102" s="73"/>
      <c r="E102" s="362" t="s">
        <v>202</v>
      </c>
      <c r="F102" s="184"/>
      <c r="G102" s="184"/>
      <c r="H102" s="185"/>
      <c r="I102" s="905" t="s">
        <v>39</v>
      </c>
      <c r="J102" s="906"/>
      <c r="K102" s="906"/>
      <c r="L102" s="906"/>
      <c r="M102" s="906"/>
      <c r="N102" s="907"/>
      <c r="O102" s="390">
        <f t="shared" ref="O102:O103" si="49">IF(I102="Escribe un Jugador",0,IF(I102="",0,1))</f>
        <v>0</v>
      </c>
      <c r="P102" s="73"/>
      <c r="Q102" s="893"/>
      <c r="R102" s="894"/>
      <c r="S102" s="894"/>
      <c r="T102" s="894"/>
      <c r="U102" s="894"/>
      <c r="V102" s="894"/>
      <c r="W102" s="894"/>
      <c r="X102" s="894"/>
      <c r="Y102" s="894"/>
      <c r="Z102" s="894"/>
      <c r="AA102" s="895"/>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5" thickBot="1">
      <c r="A103" s="810"/>
      <c r="B103" s="810"/>
      <c r="C103" s="810"/>
      <c r="D103" s="73"/>
      <c r="E103" s="361" t="s">
        <v>203</v>
      </c>
      <c r="F103" s="188"/>
      <c r="G103" s="188"/>
      <c r="H103" s="189"/>
      <c r="I103" s="911" t="s">
        <v>39</v>
      </c>
      <c r="J103" s="912"/>
      <c r="K103" s="912"/>
      <c r="L103" s="912"/>
      <c r="M103" s="912"/>
      <c r="N103" s="913"/>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5"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75">
      <c r="A105" s="810"/>
      <c r="B105" s="810"/>
      <c r="C105" s="810"/>
      <c r="D105" s="73"/>
      <c r="E105" s="360" t="s">
        <v>201</v>
      </c>
      <c r="F105" s="186"/>
      <c r="G105" s="369"/>
      <c r="H105" s="187"/>
      <c r="I105" s="908" t="s">
        <v>39</v>
      </c>
      <c r="J105" s="909"/>
      <c r="K105" s="909"/>
      <c r="L105" s="909"/>
      <c r="M105" s="909"/>
      <c r="N105" s="910"/>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75">
      <c r="A106" s="810"/>
      <c r="B106" s="810"/>
      <c r="C106" s="810"/>
      <c r="D106" s="73"/>
      <c r="E106" s="362" t="s">
        <v>204</v>
      </c>
      <c r="F106" s="184"/>
      <c r="G106" s="184"/>
      <c r="H106" s="185"/>
      <c r="I106" s="905" t="s">
        <v>39</v>
      </c>
      <c r="J106" s="906"/>
      <c r="K106" s="906"/>
      <c r="L106" s="906"/>
      <c r="M106" s="906"/>
      <c r="N106" s="907"/>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5" thickBot="1">
      <c r="A107" s="810"/>
      <c r="B107" s="810"/>
      <c r="C107" s="810"/>
      <c r="D107" s="73"/>
      <c r="E107" s="361" t="s">
        <v>205</v>
      </c>
      <c r="F107" s="188"/>
      <c r="G107" s="188"/>
      <c r="H107" s="189"/>
      <c r="I107" s="911" t="s">
        <v>39</v>
      </c>
      <c r="J107" s="912"/>
      <c r="K107" s="912"/>
      <c r="L107" s="912"/>
      <c r="M107" s="912"/>
      <c r="N107" s="913"/>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7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6" t="s">
        <v>68</v>
      </c>
      <c r="J109" s="897"/>
      <c r="K109" s="897"/>
      <c r="L109" s="897"/>
      <c r="M109" s="897"/>
      <c r="N109" s="898"/>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9"/>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9"/>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9"/>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9"/>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9"/>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9"/>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9"/>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9"/>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9"/>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9"/>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9"/>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9"/>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9"/>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9"/>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9"/>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9"/>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9"/>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9"/>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9"/>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9"/>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9"/>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9"/>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9"/>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9"/>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9"/>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9"/>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9"/>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9"/>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9"/>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9"/>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9"/>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9"/>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9"/>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9"/>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9"/>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9"/>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9"/>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9"/>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9"/>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9"/>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9"/>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9"/>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9"/>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9"/>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9"/>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9"/>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9"/>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9"/>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9"/>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9"/>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9"/>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9"/>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9"/>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9"/>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9"/>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9"/>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9"/>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9"/>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9"/>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9"/>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9"/>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9"/>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9"/>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9"/>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9"/>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9"/>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9"/>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9"/>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9"/>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topLeftCell="A101" workbookViewId="0">
      <selection activeCell="C108" sqref="C108"/>
    </sheetView>
  </sheetViews>
  <sheetFormatPr baseColWidth="10"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customWidth="1"/>
    <col min="16" max="16" width="4.85546875" customWidth="1"/>
    <col min="17" max="16384" width="10.85546875" style="1" hidden="1"/>
  </cols>
  <sheetData>
    <row r="1" spans="1:14">
      <c r="B1" s="8"/>
      <c r="C1" s="11" t="s">
        <v>182</v>
      </c>
      <c r="D1" s="8"/>
      <c r="E1" s="961" t="s">
        <v>183</v>
      </c>
      <c r="F1" s="961"/>
      <c r="G1" s="961"/>
      <c r="H1" s="961"/>
      <c r="I1" s="961"/>
      <c r="J1" s="961"/>
      <c r="K1" s="961"/>
      <c r="L1" s="961"/>
      <c r="M1" s="961"/>
      <c r="N1" s="961"/>
    </row>
    <row r="2" spans="1:14" ht="19.5" thickBot="1">
      <c r="B2" s="12" t="s">
        <v>117</v>
      </c>
      <c r="C2" s="8"/>
      <c r="D2" s="8"/>
      <c r="E2" s="961"/>
      <c r="F2" s="961"/>
      <c r="G2" s="961"/>
      <c r="H2" s="961"/>
      <c r="I2" s="961"/>
      <c r="J2" s="961"/>
      <c r="K2" s="961"/>
      <c r="L2" s="961"/>
      <c r="M2" s="961"/>
      <c r="N2" s="961"/>
    </row>
    <row r="3" spans="1:14" ht="26.1" customHeight="1" thickBot="1">
      <c r="B3" s="8" t="s">
        <v>90</v>
      </c>
      <c r="C3" s="13" t="str">
        <f>MUNDIAL!I109</f>
        <v>ESCRIBE TU NOMBRE</v>
      </c>
      <c r="D3" s="8"/>
      <c r="E3" s="965" t="s">
        <v>223</v>
      </c>
      <c r="F3" s="965"/>
      <c r="G3" s="965"/>
      <c r="H3" s="965"/>
      <c r="I3" s="965"/>
      <c r="J3" s="965"/>
      <c r="K3" s="965"/>
      <c r="L3" s="965"/>
      <c r="M3" s="965"/>
      <c r="N3" s="966"/>
    </row>
    <row r="4" spans="1:14" ht="45" customHeight="1">
      <c r="B4" s="8"/>
      <c r="C4" s="14" t="s">
        <v>91</v>
      </c>
      <c r="D4" s="8"/>
      <c r="E4" s="964" t="s">
        <v>224</v>
      </c>
      <c r="F4" s="964"/>
      <c r="G4" s="964"/>
      <c r="H4" s="964"/>
      <c r="I4" s="964"/>
      <c r="J4" s="964"/>
      <c r="K4" s="964"/>
      <c r="L4" s="964"/>
      <c r="M4" s="964"/>
      <c r="N4" s="358"/>
    </row>
    <row r="5" spans="1:14" ht="18.95" customHeight="1">
      <c r="B5" s="12" t="s">
        <v>16</v>
      </c>
      <c r="E5" s="967" t="s">
        <v>184</v>
      </c>
      <c r="F5" s="967"/>
      <c r="G5" s="967"/>
      <c r="H5" s="967"/>
      <c r="I5" s="967"/>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2|0-2</v>
      </c>
      <c r="D6" s="968" t="s">
        <v>72</v>
      </c>
      <c r="E6" s="962" t="s">
        <v>225</v>
      </c>
      <c r="F6" s="963"/>
      <c r="G6" s="963"/>
      <c r="H6" s="963"/>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2|0-2</v>
      </c>
      <c r="D7" s="968"/>
      <c r="E7" s="946"/>
      <c r="F7" s="947"/>
      <c r="G7" s="947"/>
      <c r="H7" s="947"/>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1|6-2</v>
      </c>
      <c r="D8" s="968"/>
      <c r="E8" s="946"/>
      <c r="F8" s="947"/>
      <c r="G8" s="947"/>
      <c r="H8" s="947"/>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X|1-1</v>
      </c>
      <c r="D9" s="968"/>
      <c r="E9" s="946"/>
      <c r="F9" s="947"/>
      <c r="G9" s="947"/>
      <c r="H9" s="947"/>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2|1-2</v>
      </c>
      <c r="D10" s="968"/>
      <c r="E10" s="1"/>
      <c r="F10" s="1"/>
      <c r="G10" s="1"/>
      <c r="H10" s="1"/>
      <c r="I10" s="352"/>
      <c r="J10" s="1"/>
      <c r="K10" s="1"/>
      <c r="L10" s="1"/>
      <c r="M10" s="357"/>
      <c r="N10" s="358"/>
    </row>
    <row r="11" spans="1:14" ht="15.95" customHeight="1">
      <c r="A11" s="338" t="s">
        <v>166</v>
      </c>
      <c r="B11" t="str">
        <f ca="1">CONCATENATE(MUNDIAL!I21,"-",MUNDIAL!N21)</f>
        <v>México-Polonia</v>
      </c>
      <c r="C11" s="15" t="str">
        <f>CONCATENATE(IF(MUNDIAL!K21&gt;MUNDIAL!L21,1,IF(MUNDIAL!K21&lt;MUNDIAL!L21,2,IF(AND(MUNDIAL!K21=MUNDIAL!L21,MUNDIAL!K21&lt;&gt;"",MUNDIAL!L21&lt;&gt;""),"X",0))),"|",MUNDIAL!K21,"-",MUNDIAL!L21)</f>
        <v>X|0-0</v>
      </c>
      <c r="D11" s="968"/>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X|0-0</v>
      </c>
      <c r="D12" s="968"/>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1|4-1</v>
      </c>
      <c r="D13" s="968"/>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2|1-2</v>
      </c>
      <c r="D14" s="968"/>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1|7-0</v>
      </c>
      <c r="D15" s="968"/>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X|0-0</v>
      </c>
      <c r="D16" s="968"/>
      <c r="E16" s="1"/>
      <c r="F16" s="1"/>
      <c r="G16" s="1"/>
      <c r="H16" s="1"/>
      <c r="I16" s="352"/>
      <c r="J16" s="1"/>
      <c r="K16" s="1"/>
      <c r="L16" s="1"/>
      <c r="M16" s="357"/>
      <c r="N16" s="358"/>
    </row>
    <row r="17" spans="1:14" ht="15.95" customHeight="1">
      <c r="A17" s="321" t="s">
        <v>169</v>
      </c>
      <c r="B17" t="str">
        <f ca="1">CONCATENATE(MUNDIAL!I45,"-",MUNDIAL!N45)</f>
        <v>Bélgica-Canadá</v>
      </c>
      <c r="C17" s="15" t="str">
        <f>CONCATENATE(IF(MUNDIAL!K45&gt;MUNDIAL!L45,1,IF(MUNDIAL!K45&lt;MUNDIAL!L45,2,IF(AND(MUNDIAL!K45=MUNDIAL!L45,MUNDIAL!K45&lt;&gt;"",MUNDIAL!L45&lt;&gt;""),"X",0))),"|",MUNDIAL!K45,"-",MUNDIAL!L45)</f>
        <v>1|1-0</v>
      </c>
      <c r="D17" s="968"/>
      <c r="E17" s="1"/>
      <c r="F17" s="1"/>
      <c r="G17" s="1"/>
      <c r="H17" s="1"/>
      <c r="I17" s="352"/>
      <c r="J17" s="1"/>
      <c r="K17" s="1"/>
      <c r="L17" s="1"/>
      <c r="M17" s="357"/>
      <c r="N17" s="358"/>
    </row>
    <row r="18" spans="1:14" ht="15.95" customHeight="1">
      <c r="A18" s="321" t="s">
        <v>207</v>
      </c>
      <c r="B18" t="str">
        <f ca="1">CONCATENATE(MUNDIAL!I52,"-",MUNDIAL!N52)</f>
        <v>Suiza-Camerún</v>
      </c>
      <c r="C18" s="15" t="str">
        <f>CONCATENATE(IF(MUNDIAL!K52&gt;MUNDIAL!L52,1,IF(MUNDIAL!K52&lt;MUNDIAL!L52,2,IF(AND(MUNDIAL!K52=MUNDIAL!L52,MUNDIAL!K52&lt;&gt;"",MUNDIAL!L52&lt;&gt;""),"X",0))),"|",MUNDIAL!K52,"-",MUNDIAL!L52)</f>
        <v>1|1-0</v>
      </c>
      <c r="D18" s="968"/>
      <c r="E18" s="1"/>
      <c r="F18" s="1"/>
      <c r="G18" s="1"/>
      <c r="H18" s="1"/>
      <c r="I18" s="352"/>
      <c r="J18" s="1"/>
      <c r="K18" s="1"/>
      <c r="L18" s="1"/>
      <c r="M18" s="357"/>
      <c r="N18" s="358"/>
    </row>
    <row r="19" spans="1:14" ht="15.95" customHeight="1">
      <c r="A19" s="321" t="s">
        <v>207</v>
      </c>
      <c r="B19" t="str">
        <f ca="1">CONCATENATE(MUNDIAL!I53,"-",MUNDIAL!N53)</f>
        <v>Brasil-Serbia</v>
      </c>
      <c r="C19" s="15" t="str">
        <f>CONCATENATE(IF(MUNDIAL!K53&gt;MUNDIAL!L53,1,IF(MUNDIAL!K53&lt;MUNDIAL!L53,2,IF(AND(MUNDIAL!K53=MUNDIAL!L53,MUNDIAL!K53&lt;&gt;"",MUNDIAL!L53&lt;&gt;""),"X",0))),"|",MUNDIAL!K53,"-",MUNDIAL!L53)</f>
        <v>1|2-0</v>
      </c>
      <c r="D19" s="968"/>
      <c r="E19" s="1"/>
      <c r="F19" s="1"/>
      <c r="G19" s="1"/>
      <c r="H19" s="1"/>
      <c r="I19" s="352"/>
      <c r="J19" s="1"/>
      <c r="K19" s="1"/>
      <c r="L19" s="1"/>
      <c r="M19" s="357"/>
      <c r="N19" s="358"/>
    </row>
    <row r="20" spans="1:14" ht="15.95" customHeight="1">
      <c r="A20" s="321" t="s">
        <v>206</v>
      </c>
      <c r="B20" t="str">
        <f ca="1">CONCATENATE(MUNDIAL!I60,"-",MUNDIAL!N60)</f>
        <v>Uruguay-Corea del Sur</v>
      </c>
      <c r="C20" s="15" t="str">
        <f>CONCATENATE(IF(MUNDIAL!K60&gt;MUNDIAL!L60,1,IF(MUNDIAL!K60&lt;MUNDIAL!L60,2,IF(AND(MUNDIAL!K60=MUNDIAL!L60,MUNDIAL!K60&lt;&gt;"",MUNDIAL!L60&lt;&gt;""),"X",0))),"|",MUNDIAL!K60,"-",MUNDIAL!L60)</f>
        <v>X|0-0</v>
      </c>
      <c r="D20" s="968"/>
      <c r="E20" s="1"/>
      <c r="F20" s="1"/>
      <c r="G20" s="1"/>
      <c r="H20" s="1"/>
      <c r="I20" s="352"/>
      <c r="J20" s="1"/>
      <c r="K20" s="1"/>
      <c r="L20" s="1"/>
      <c r="M20" s="357"/>
      <c r="N20" s="358"/>
    </row>
    <row r="21" spans="1:14" ht="15.95" customHeight="1">
      <c r="A21" s="321" t="s">
        <v>206</v>
      </c>
      <c r="B21" t="str">
        <f ca="1">CONCATENATE(MUNDIAL!I61,"-",MUNDIAL!N61)</f>
        <v>Portugal-Ghana</v>
      </c>
      <c r="C21" s="15" t="str">
        <f>CONCATENATE(IF(MUNDIAL!K61&gt;MUNDIAL!L61,1,IF(MUNDIAL!K61&lt;MUNDIAL!L61,2,IF(AND(MUNDIAL!K61=MUNDIAL!L61,MUNDIAL!K61&lt;&gt;"",MUNDIAL!L61&lt;&gt;""),"X",0))),"|",MUNDIAL!K61,"-",MUNDIAL!L61)</f>
        <v>1|3-2</v>
      </c>
      <c r="D21" s="968"/>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2|1-3</v>
      </c>
      <c r="D22" s="969" t="s">
        <v>73</v>
      </c>
      <c r="E22" s="946" t="s">
        <v>226</v>
      </c>
      <c r="F22" s="947"/>
      <c r="G22" s="947"/>
      <c r="H22" s="947"/>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X|1-1</v>
      </c>
      <c r="D23" s="969"/>
      <c r="E23" s="946"/>
      <c r="F23" s="947"/>
      <c r="G23" s="947"/>
      <c r="H23" s="947"/>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2|0-2</v>
      </c>
      <c r="D24" s="969"/>
      <c r="E24" s="946"/>
      <c r="F24" s="947"/>
      <c r="G24" s="947"/>
      <c r="H24" s="947"/>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X|0-0</v>
      </c>
      <c r="D25" s="969"/>
      <c r="E25" s="946"/>
      <c r="F25" s="947"/>
      <c r="G25" s="947"/>
      <c r="H25" s="947"/>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1|2-0</v>
      </c>
      <c r="D26" s="969"/>
      <c r="E26" s="1"/>
      <c r="F26" s="1"/>
      <c r="G26" s="1"/>
      <c r="H26" s="1"/>
      <c r="I26" s="352"/>
      <c r="J26" s="1"/>
      <c r="K26" s="1"/>
      <c r="L26" s="1"/>
      <c r="M26" s="357"/>
      <c r="N26" s="358"/>
    </row>
    <row r="27" spans="1:14" ht="15.95" customHeight="1">
      <c r="A27" s="338" t="s">
        <v>172</v>
      </c>
      <c r="B27" t="str">
        <f ca="1">CONCATENATE(MUNDIAL!I23,"-",MUNDIAL!N23)</f>
        <v>Argentina-México</v>
      </c>
      <c r="C27" s="15" t="str">
        <f>CONCATENATE(IF(MUNDIAL!K23&gt;MUNDIAL!L23,1,IF(MUNDIAL!K23&lt;MUNDIAL!L23,2,IF(AND(MUNDIAL!K23=MUNDIAL!L23,MUNDIAL!K23&lt;&gt;"",MUNDIAL!L23&lt;&gt;""),"X",0))),"|",MUNDIAL!K23,"-",MUNDIAL!L23)</f>
        <v>1|2-0</v>
      </c>
      <c r="D27" s="969"/>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2|0-1</v>
      </c>
      <c r="D28" s="969"/>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1|2-1</v>
      </c>
      <c r="D29" s="969"/>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2|0-1</v>
      </c>
      <c r="D30" s="969"/>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X|1-1</v>
      </c>
      <c r="D31" s="969"/>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2|0-2</v>
      </c>
      <c r="D32" s="969"/>
      <c r="E32" s="1"/>
      <c r="F32" s="1"/>
      <c r="G32" s="1"/>
      <c r="H32" s="1"/>
      <c r="I32" s="352"/>
      <c r="J32" s="1"/>
      <c r="K32" s="1"/>
      <c r="L32" s="1"/>
      <c r="M32" s="357"/>
      <c r="N32" s="358"/>
    </row>
    <row r="33" spans="1:14" ht="15.95" customHeight="1">
      <c r="A33" s="321" t="s">
        <v>175</v>
      </c>
      <c r="B33" t="str">
        <f ca="1">CONCATENATE(MUNDIAL!I47,"-",MUNDIAL!N47)</f>
        <v>Croacia-Canadá</v>
      </c>
      <c r="C33" s="15" t="str">
        <f>CONCATENATE(IF(MUNDIAL!K47&gt;MUNDIAL!L47,1,IF(MUNDIAL!K47&lt;MUNDIAL!L47,2,IF(AND(MUNDIAL!K47=MUNDIAL!L47,MUNDIAL!K47&lt;&gt;"",MUNDIAL!L47&lt;&gt;""),"X",0))),"|",MUNDIAL!K47,"-",MUNDIAL!L47)</f>
        <v>1|4-1</v>
      </c>
      <c r="D33" s="969"/>
      <c r="E33" s="1"/>
      <c r="F33" s="1"/>
      <c r="G33" s="1"/>
      <c r="H33" s="1"/>
      <c r="I33" s="352"/>
      <c r="J33" s="1"/>
      <c r="K33" s="1"/>
      <c r="L33" s="1"/>
      <c r="M33" s="357"/>
      <c r="N33" s="358"/>
    </row>
    <row r="34" spans="1:14" ht="15.95" customHeight="1">
      <c r="A34" s="321" t="s">
        <v>208</v>
      </c>
      <c r="B34" t="str">
        <f ca="1">CONCATENATE(MUNDIAL!I54,"-",MUNDIAL!N54)</f>
        <v>Camerún-Serbia</v>
      </c>
      <c r="C34" s="15" t="str">
        <f>CONCATENATE(IF(MUNDIAL!K54&gt;MUNDIAL!L54,1,IF(MUNDIAL!K54&lt;MUNDIAL!L54,2,IF(AND(MUNDIAL!K54=MUNDIAL!L54,MUNDIAL!K54&lt;&gt;"",MUNDIAL!L54&lt;&gt;""),"X",0))),"|",MUNDIAL!K54,"-",MUNDIAL!L54)</f>
        <v>X|3-3</v>
      </c>
      <c r="D34" s="969"/>
      <c r="E34" s="1"/>
      <c r="F34" s="1"/>
      <c r="G34" s="1"/>
      <c r="H34" s="1"/>
      <c r="I34" s="352"/>
      <c r="J34" s="1"/>
      <c r="K34" s="1"/>
      <c r="L34" s="1"/>
      <c r="M34" s="357"/>
      <c r="N34" s="358"/>
    </row>
    <row r="35" spans="1:14" ht="15.95" customHeight="1">
      <c r="A35" s="321" t="s">
        <v>208</v>
      </c>
      <c r="B35" t="str">
        <f ca="1">CONCATENATE(MUNDIAL!I55,"-",MUNDIAL!N55)</f>
        <v>Brasil-Suiza</v>
      </c>
      <c r="C35" s="15" t="str">
        <f>CONCATENATE(IF(MUNDIAL!K55&gt;MUNDIAL!L55,1,IF(MUNDIAL!K55&lt;MUNDIAL!L55,2,IF(AND(MUNDIAL!K55=MUNDIAL!L55,MUNDIAL!K55&lt;&gt;"",MUNDIAL!L55&lt;&gt;""),"X",0))),"|",MUNDIAL!K55,"-",MUNDIAL!L55)</f>
        <v>1|1-0</v>
      </c>
      <c r="D35" s="969"/>
      <c r="E35" s="1"/>
      <c r="F35" s="1"/>
      <c r="G35" s="1"/>
      <c r="H35" s="1"/>
      <c r="I35" s="352"/>
      <c r="J35" s="1"/>
      <c r="K35" s="1"/>
      <c r="L35" s="1"/>
      <c r="M35" s="357"/>
      <c r="N35" s="358"/>
    </row>
    <row r="36" spans="1:14" ht="15.95" customHeight="1">
      <c r="A36" s="321" t="s">
        <v>209</v>
      </c>
      <c r="B36" t="str">
        <f ca="1">CONCATENATE(MUNDIAL!I62,"-",MUNDIAL!N62)</f>
        <v>Corea del Sur-Ghana</v>
      </c>
      <c r="C36" s="15" t="str">
        <f>CONCATENATE(IF(MUNDIAL!K62&gt;MUNDIAL!L62,1,IF(MUNDIAL!K62&lt;MUNDIAL!L62,2,IF(AND(MUNDIAL!K62=MUNDIAL!L62,MUNDIAL!K62&lt;&gt;"",MUNDIAL!L62&lt;&gt;""),"X",0))),"|",MUNDIAL!K62,"-",MUNDIAL!L62)</f>
        <v>2|2-3</v>
      </c>
      <c r="D36" s="969"/>
      <c r="E36" s="1"/>
      <c r="F36" s="1"/>
      <c r="G36" s="1"/>
      <c r="H36" s="1"/>
      <c r="I36" s="352"/>
      <c r="J36" s="1"/>
      <c r="K36" s="1"/>
      <c r="L36" s="1"/>
      <c r="M36" s="357"/>
      <c r="N36" s="358"/>
    </row>
    <row r="37" spans="1:14" ht="15.95" customHeight="1">
      <c r="A37" s="321" t="s">
        <v>209</v>
      </c>
      <c r="B37" t="str">
        <f ca="1">CONCATENATE(MUNDIAL!I63,"-",MUNDIAL!N63)</f>
        <v>Portugal-Uruguay</v>
      </c>
      <c r="C37" s="15" t="str">
        <f>CONCATENATE(IF(MUNDIAL!K63&gt;MUNDIAL!L63,1,IF(MUNDIAL!K63&lt;MUNDIAL!L63,2,IF(AND(MUNDIAL!K63=MUNDIAL!L63,MUNDIAL!K63&lt;&gt;"",MUNDIAL!L63&lt;&gt;""),"X",0))),"|",MUNDIAL!K63,"-",MUNDIAL!L63)</f>
        <v>1|2-0</v>
      </c>
      <c r="D37" s="969"/>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2|1-2</v>
      </c>
      <c r="D38" s="943" t="s">
        <v>74</v>
      </c>
      <c r="E38" s="946" t="s">
        <v>227</v>
      </c>
      <c r="F38" s="947"/>
      <c r="G38" s="947"/>
      <c r="H38" s="947"/>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1|2-0</v>
      </c>
      <c r="D39" s="943"/>
      <c r="E39" s="946"/>
      <c r="F39" s="947"/>
      <c r="G39" s="947"/>
      <c r="H39" s="947"/>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2|0-3</v>
      </c>
      <c r="D40" s="943"/>
      <c r="E40" s="946"/>
      <c r="F40" s="947"/>
      <c r="G40" s="947"/>
      <c r="H40" s="947"/>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2|0-1</v>
      </c>
      <c r="D41" s="943"/>
      <c r="E41" s="946"/>
      <c r="F41" s="947"/>
      <c r="G41" s="947"/>
      <c r="H41" s="947"/>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2|0-2</v>
      </c>
      <c r="D42" s="943"/>
      <c r="E42" s="1"/>
      <c r="F42" s="1"/>
      <c r="G42" s="1"/>
      <c r="H42" s="1"/>
      <c r="I42" s="352"/>
      <c r="J42" s="1"/>
      <c r="K42" s="1"/>
      <c r="L42" s="1"/>
      <c r="M42" s="357"/>
      <c r="N42" s="358"/>
    </row>
    <row r="43" spans="1:14" ht="15.95" customHeight="1">
      <c r="A43" s="338" t="s">
        <v>178</v>
      </c>
      <c r="B43" t="str">
        <f ca="1">CONCATENATE(MUNDIAL!I25,"-",MUNDIAL!N25)</f>
        <v>Arabia Saudita-México</v>
      </c>
      <c r="C43" s="15" t="str">
        <f>CONCATENATE(IF(MUNDIAL!K25&gt;MUNDIAL!L25,1,IF(MUNDIAL!K25&lt;MUNDIAL!L25,2,IF(AND(MUNDIAL!K25=MUNDIAL!L25,MUNDIAL!K25&lt;&gt;"",MUNDIAL!L25&lt;&gt;""),"X",0))),"|",MUNDIAL!K25,"-",MUNDIAL!L25)</f>
        <v>2|1-2</v>
      </c>
      <c r="D43" s="943"/>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1|1-0</v>
      </c>
      <c r="D44" s="943"/>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1|1-0</v>
      </c>
      <c r="D45" s="943"/>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1|2-1</v>
      </c>
      <c r="D46" s="943"/>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2|2-4</v>
      </c>
      <c r="D47" s="943"/>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X|0-0</v>
      </c>
      <c r="D48" s="943"/>
      <c r="E48" s="1"/>
      <c r="F48" s="1"/>
      <c r="G48" s="1"/>
      <c r="H48" s="1"/>
      <c r="I48" s="352"/>
      <c r="J48" s="1"/>
      <c r="K48" s="1"/>
      <c r="L48" s="1"/>
      <c r="M48" s="357"/>
      <c r="N48" s="358"/>
    </row>
    <row r="49" spans="1:14" ht="15.95" customHeight="1">
      <c r="A49" s="321" t="s">
        <v>181</v>
      </c>
      <c r="B49" t="str">
        <f ca="1">CONCATENATE(MUNDIAL!I49,"-",MUNDIAL!N49)</f>
        <v>Canadá-Marruecos</v>
      </c>
      <c r="C49" s="15" t="str">
        <f>CONCATENATE(IF(MUNDIAL!K49&gt;MUNDIAL!L49,1,IF(MUNDIAL!K49&lt;MUNDIAL!L49,2,IF(AND(MUNDIAL!K49=MUNDIAL!L49,MUNDIAL!K49&lt;&gt;"",MUNDIAL!L49&lt;&gt;""),"X",0))),"|",MUNDIAL!K49,"-",MUNDIAL!L49)</f>
        <v>2|1-2</v>
      </c>
      <c r="D49" s="943"/>
      <c r="E49" s="1"/>
      <c r="F49" s="1"/>
      <c r="G49" s="1"/>
      <c r="H49" s="1"/>
      <c r="I49" s="352"/>
      <c r="J49" s="1"/>
      <c r="K49" s="1"/>
      <c r="L49" s="1"/>
      <c r="M49" s="357"/>
      <c r="N49" s="358"/>
    </row>
    <row r="50" spans="1:14" ht="15.95" customHeight="1">
      <c r="A50" s="321" t="s">
        <v>210</v>
      </c>
      <c r="B50" t="str">
        <f ca="1">CONCATENATE(MUNDIAL!I56,"-",MUNDIAL!N56)</f>
        <v>Serbia-Suiza</v>
      </c>
      <c r="C50" s="15" t="str">
        <f>CONCATENATE(IF(MUNDIAL!K56&gt;MUNDIAL!L56,1,IF(MUNDIAL!K56&lt;MUNDIAL!L56,2,IF(AND(MUNDIAL!K56=MUNDIAL!L56,MUNDIAL!K56&lt;&gt;"",MUNDIAL!L56&lt;&gt;""),"X",0))),"|",MUNDIAL!K56,"-",MUNDIAL!L56)</f>
        <v>2|2-3</v>
      </c>
      <c r="D50" s="943"/>
      <c r="E50" s="1"/>
      <c r="F50" s="1"/>
      <c r="G50" s="1"/>
      <c r="H50" s="1"/>
      <c r="I50" s="352"/>
      <c r="J50" s="1"/>
      <c r="K50" s="1"/>
      <c r="L50" s="1"/>
      <c r="M50" s="357"/>
      <c r="N50" s="358"/>
    </row>
    <row r="51" spans="1:14" ht="15.95" customHeight="1">
      <c r="A51" s="321" t="s">
        <v>210</v>
      </c>
      <c r="B51" t="str">
        <f ca="1">CONCATENATE(MUNDIAL!I57,"-",MUNDIAL!N57)</f>
        <v>Camerún-Brasil</v>
      </c>
      <c r="C51" s="15" t="str">
        <f>CONCATENATE(IF(MUNDIAL!K57&gt;MUNDIAL!L57,1,IF(MUNDIAL!K57&lt;MUNDIAL!L57,2,IF(AND(MUNDIAL!K57=MUNDIAL!L57,MUNDIAL!K57&lt;&gt;"",MUNDIAL!L57&lt;&gt;""),"X",0))),"|",MUNDIAL!K57,"-",MUNDIAL!L57)</f>
        <v>1|1-0</v>
      </c>
      <c r="D51" s="943"/>
      <c r="E51" s="1"/>
      <c r="F51" s="1"/>
      <c r="G51" s="1"/>
      <c r="H51" s="1"/>
      <c r="I51" s="352"/>
      <c r="J51" s="1"/>
      <c r="K51" s="1"/>
      <c r="L51" s="1"/>
      <c r="M51" s="357"/>
      <c r="N51" s="358"/>
    </row>
    <row r="52" spans="1:14" ht="15.95" customHeight="1">
      <c r="A52" s="321" t="s">
        <v>211</v>
      </c>
      <c r="B52" t="str">
        <f ca="1">CONCATENATE(MUNDIAL!I64,"-",MUNDIAL!N64)</f>
        <v>Ghana-Uruguay</v>
      </c>
      <c r="C52" s="15" t="str">
        <f>CONCATENATE(IF(MUNDIAL!K64&gt;MUNDIAL!L64,1,IF(MUNDIAL!K64&lt;MUNDIAL!L64,2,IF(AND(MUNDIAL!K64=MUNDIAL!L64,MUNDIAL!K64&lt;&gt;"",MUNDIAL!L64&lt;&gt;""),"X",0))),"|",MUNDIAL!K64,"-",MUNDIAL!L64)</f>
        <v>2|0-2</v>
      </c>
      <c r="D52" s="943"/>
      <c r="E52" s="1"/>
      <c r="F52" s="1"/>
      <c r="G52" s="1"/>
      <c r="H52" s="1"/>
      <c r="I52" s="352"/>
      <c r="J52" s="1"/>
      <c r="K52" s="1"/>
      <c r="L52" s="1"/>
      <c r="M52" s="357"/>
      <c r="N52" s="358"/>
    </row>
    <row r="53" spans="1:14" ht="15.95" customHeight="1">
      <c r="A53" s="321" t="s">
        <v>211</v>
      </c>
      <c r="B53" t="str">
        <f ca="1">CONCATENATE(MUNDIAL!I65,"-",MUNDIAL!N65)</f>
        <v>Corea del Sur-Portugal</v>
      </c>
      <c r="C53" s="15" t="str">
        <f>CONCATENATE(IF(MUNDIAL!K65&gt;MUNDIAL!L65,1,IF(MUNDIAL!K65&lt;MUNDIAL!L65,2,IF(AND(MUNDIAL!K65=MUNDIAL!L65,MUNDIAL!K65&lt;&gt;"",MUNDIAL!L65&lt;&gt;""),"X",0))),"|",MUNDIAL!K65,"-",MUNDIAL!L65)</f>
        <v>1|2-1</v>
      </c>
      <c r="D53" s="943"/>
      <c r="E53" s="1"/>
      <c r="F53" s="1"/>
      <c r="G53" s="1"/>
      <c r="H53" s="1"/>
      <c r="I53" s="352"/>
      <c r="J53" s="1"/>
      <c r="K53" s="1"/>
      <c r="L53" s="1"/>
      <c r="M53" s="357"/>
      <c r="N53" s="358"/>
    </row>
    <row r="54" spans="1:14" ht="15" customHeight="1">
      <c r="C54" s="15"/>
      <c r="D54" s="943"/>
      <c r="E54" s="1"/>
      <c r="F54" s="1"/>
      <c r="G54" s="1"/>
      <c r="H54" s="1"/>
      <c r="I54" s="352"/>
      <c r="J54" s="1"/>
      <c r="K54" s="1"/>
      <c r="L54" s="1"/>
      <c r="M54" s="357"/>
      <c r="N54" s="358"/>
    </row>
    <row r="55" spans="1:14" ht="18.95" customHeight="1">
      <c r="B55" s="12" t="s">
        <v>92</v>
      </c>
      <c r="C55" s="15"/>
      <c r="D55" s="943"/>
      <c r="E55" s="1"/>
      <c r="F55" s="1"/>
      <c r="G55" s="1"/>
      <c r="H55" s="1"/>
      <c r="I55" s="352"/>
      <c r="J55" s="1"/>
      <c r="K55" s="1"/>
      <c r="L55" s="1"/>
      <c r="M55" s="357"/>
      <c r="N55" s="358"/>
    </row>
    <row r="56" spans="1:14" ht="15" customHeight="1">
      <c r="A56" s="948" t="s">
        <v>0</v>
      </c>
      <c r="B56" s="8" t="s">
        <v>93</v>
      </c>
      <c r="C56" s="15" t="str">
        <f ca="1">IF(SUM(MUNDIAL!$T$6:$T$9)=12,MUNDIAL!R6,B56)</f>
        <v>Paises Bajos</v>
      </c>
      <c r="D56" s="943"/>
      <c r="E56" s="1"/>
      <c r="F56" s="1"/>
      <c r="G56" s="1"/>
      <c r="H56" s="1"/>
      <c r="I56" s="352"/>
      <c r="J56" s="1"/>
      <c r="K56" s="1"/>
      <c r="L56" s="1"/>
      <c r="M56" s="357"/>
      <c r="N56" s="358"/>
    </row>
    <row r="57" spans="1:14" ht="15" customHeight="1">
      <c r="A57" s="948"/>
      <c r="B57" s="8" t="s">
        <v>94</v>
      </c>
      <c r="C57" s="15" t="str">
        <f ca="1">IF(SUM(MUNDIAL!$T$6:$T$9)=12,MUNDIAL!R7,B57)</f>
        <v>Senegal</v>
      </c>
      <c r="D57" s="943"/>
      <c r="E57" s="1"/>
      <c r="F57" s="1"/>
      <c r="G57" s="1"/>
      <c r="H57" s="1"/>
      <c r="I57" s="352"/>
      <c r="J57" s="1"/>
      <c r="K57" s="1"/>
      <c r="L57" s="1"/>
      <c r="M57" s="357"/>
      <c r="N57" s="358"/>
    </row>
    <row r="58" spans="1:14" ht="15" customHeight="1">
      <c r="A58" s="948"/>
      <c r="B58" s="8" t="s">
        <v>95</v>
      </c>
      <c r="C58" s="15" t="str">
        <f ca="1">IF(SUM(MUNDIAL!$T$6:$T$9)=12,MUNDIAL!R8,B58)</f>
        <v>Ecuador</v>
      </c>
      <c r="D58" s="943"/>
      <c r="E58" s="1"/>
      <c r="F58" s="1"/>
      <c r="G58" s="1"/>
      <c r="H58" s="1"/>
      <c r="I58" s="352"/>
      <c r="J58" s="1"/>
      <c r="K58" s="1"/>
      <c r="L58" s="1"/>
      <c r="M58" s="357"/>
      <c r="N58" s="358"/>
    </row>
    <row r="59" spans="1:14" ht="15" customHeight="1">
      <c r="A59" s="948"/>
      <c r="B59" s="8" t="s">
        <v>96</v>
      </c>
      <c r="C59" s="15" t="str">
        <f ca="1">IF(SUM(MUNDIAL!$T$6:$T$9)=12,MUNDIAL!R9,B59)</f>
        <v>Catar</v>
      </c>
      <c r="D59" s="943"/>
      <c r="E59" s="1"/>
      <c r="F59" s="1"/>
      <c r="G59" s="1"/>
      <c r="H59" s="1"/>
      <c r="I59" s="352"/>
      <c r="J59" s="1"/>
      <c r="K59" s="1"/>
      <c r="L59" s="1"/>
      <c r="M59" s="357"/>
      <c r="N59" s="358"/>
    </row>
    <row r="60" spans="1:14" ht="15" customHeight="1">
      <c r="A60" s="949" t="s">
        <v>1</v>
      </c>
      <c r="B60" s="8" t="s">
        <v>97</v>
      </c>
      <c r="C60" s="15" t="str">
        <f ca="1">IF(SUM(MUNDIAL!$T$14:$T$17)=12,MUNDIAL!R14,B60)</f>
        <v>Inglaterra</v>
      </c>
      <c r="D60" s="943"/>
      <c r="E60" s="1"/>
      <c r="F60" s="1"/>
      <c r="G60" s="1"/>
      <c r="H60" s="1"/>
      <c r="I60" s="352"/>
      <c r="J60" s="1"/>
      <c r="K60" s="1"/>
      <c r="L60" s="1"/>
      <c r="M60" s="357"/>
      <c r="N60" s="358"/>
    </row>
    <row r="61" spans="1:14" ht="15" customHeight="1">
      <c r="A61" s="949"/>
      <c r="B61" s="8" t="s">
        <v>98</v>
      </c>
      <c r="C61" s="15" t="str">
        <f ca="1">IF(SUM(MUNDIAL!$T$14:$T$17)=12,MUNDIAL!R15,B61)</f>
        <v>Estados unidos</v>
      </c>
      <c r="D61" s="943"/>
      <c r="E61" s="1"/>
      <c r="F61" s="1"/>
      <c r="G61" s="1"/>
      <c r="H61" s="1"/>
      <c r="I61" s="352"/>
      <c r="J61" s="1"/>
      <c r="K61" s="1"/>
      <c r="L61" s="1"/>
      <c r="M61" s="357"/>
      <c r="N61" s="358"/>
    </row>
    <row r="62" spans="1:14" ht="15" customHeight="1">
      <c r="A62" s="949"/>
      <c r="B62" s="8" t="s">
        <v>99</v>
      </c>
      <c r="C62" s="15" t="str">
        <f ca="1">IF(SUM(MUNDIAL!$T$14:$T$17)=12,MUNDIAL!R16,B62)</f>
        <v>Irán</v>
      </c>
      <c r="D62" s="943"/>
      <c r="E62" s="1"/>
      <c r="F62" s="1"/>
      <c r="G62" s="1"/>
      <c r="H62" s="1"/>
      <c r="I62" s="352"/>
      <c r="J62" s="1"/>
      <c r="K62" s="1"/>
      <c r="L62" s="1"/>
      <c r="M62" s="357"/>
      <c r="N62" s="358"/>
    </row>
    <row r="63" spans="1:14" ht="15" customHeight="1">
      <c r="A63" s="949"/>
      <c r="B63" s="8" t="s">
        <v>100</v>
      </c>
      <c r="C63" s="15" t="str">
        <f ca="1">IF(SUM(MUNDIAL!$T$14:$T$17)=12,MUNDIAL!R17,B63)</f>
        <v>Gales</v>
      </c>
      <c r="D63" s="943"/>
      <c r="E63" s="1"/>
      <c r="F63" s="1"/>
      <c r="G63" s="1"/>
      <c r="H63" s="1"/>
      <c r="I63" s="352"/>
      <c r="J63" s="1"/>
      <c r="K63" s="1"/>
      <c r="L63" s="1"/>
      <c r="M63" s="357"/>
      <c r="N63" s="358"/>
    </row>
    <row r="64" spans="1:14" ht="15" customHeight="1">
      <c r="A64" s="950" t="s">
        <v>2</v>
      </c>
      <c r="B64" s="8" t="s">
        <v>101</v>
      </c>
      <c r="C64" s="15" t="str">
        <f ca="1">IF(SUM(MUNDIAL!$T$22:$T$25)=12,MUNDIAL!R22,B64)</f>
        <v>Argentina</v>
      </c>
      <c r="D64" s="943"/>
      <c r="E64" s="1"/>
      <c r="F64" s="1"/>
      <c r="G64" s="1"/>
      <c r="H64" s="1"/>
      <c r="I64" s="352"/>
      <c r="J64" s="1"/>
      <c r="K64" s="1"/>
      <c r="L64" s="1"/>
      <c r="M64" s="357"/>
      <c r="N64" s="358"/>
    </row>
    <row r="65" spans="1:14" ht="15" customHeight="1">
      <c r="A65" s="950"/>
      <c r="B65" s="8" t="s">
        <v>102</v>
      </c>
      <c r="C65" s="15" t="str">
        <f ca="1">IF(SUM(MUNDIAL!$T$22:$T$25)=12,MUNDIAL!R23,B65)</f>
        <v>Polonia</v>
      </c>
      <c r="D65" s="943"/>
      <c r="E65" s="1"/>
      <c r="F65" s="1"/>
      <c r="G65" s="1"/>
      <c r="H65" s="1"/>
      <c r="I65" s="352"/>
      <c r="J65" s="1"/>
      <c r="K65" s="1"/>
      <c r="L65" s="1"/>
      <c r="M65" s="357"/>
      <c r="N65" s="358"/>
    </row>
    <row r="66" spans="1:14" ht="15" customHeight="1">
      <c r="A66" s="950"/>
      <c r="B66" s="8" t="s">
        <v>103</v>
      </c>
      <c r="C66" s="15" t="str">
        <f ca="1">IF(SUM(MUNDIAL!$T$22:$T$25)=12,MUNDIAL!R24,B66)</f>
        <v>México</v>
      </c>
      <c r="D66" s="943"/>
      <c r="E66" s="1"/>
      <c r="F66" s="1"/>
      <c r="G66" s="1"/>
      <c r="H66" s="1"/>
      <c r="I66" s="352"/>
      <c r="J66" s="1"/>
      <c r="K66" s="1"/>
      <c r="L66" s="1"/>
      <c r="M66" s="357"/>
      <c r="N66" s="358"/>
    </row>
    <row r="67" spans="1:14" ht="15" customHeight="1">
      <c r="A67" s="950"/>
      <c r="B67" s="8" t="s">
        <v>104</v>
      </c>
      <c r="C67" s="15" t="str">
        <f ca="1">IF(SUM(MUNDIAL!$T$22:$T$25)=12,MUNDIAL!R25,B67)</f>
        <v>Arabia Saudita</v>
      </c>
      <c r="D67" s="943"/>
      <c r="E67" s="1"/>
      <c r="F67" s="1"/>
      <c r="G67" s="1"/>
      <c r="H67" s="1"/>
      <c r="I67" s="352"/>
      <c r="J67" s="1"/>
      <c r="K67" s="1"/>
      <c r="L67" s="1"/>
      <c r="M67" s="357"/>
      <c r="N67" s="358"/>
    </row>
    <row r="68" spans="1:14" ht="15" customHeight="1">
      <c r="A68" s="952" t="s">
        <v>121</v>
      </c>
      <c r="B68" s="8" t="s">
        <v>142</v>
      </c>
      <c r="C68" s="15" t="str">
        <f ca="1">IF(SUM(MUNDIAL!$T$30:$T$33)=12,MUNDIAL!R30,B68)</f>
        <v>Francia</v>
      </c>
      <c r="D68" s="943"/>
      <c r="E68" s="1"/>
      <c r="F68" s="1"/>
      <c r="G68" s="1"/>
      <c r="H68" s="1"/>
      <c r="I68" s="352"/>
      <c r="J68" s="1"/>
      <c r="K68" s="1"/>
      <c r="L68" s="1"/>
      <c r="M68" s="357"/>
      <c r="N68" s="358"/>
    </row>
    <row r="69" spans="1:14" ht="15" customHeight="1">
      <c r="A69" s="952"/>
      <c r="B69" s="8" t="s">
        <v>143</v>
      </c>
      <c r="C69" s="15" t="str">
        <f ca="1">IF(SUM(MUNDIAL!$T$30:$T$33)=12,MUNDIAL!R31,B69)</f>
        <v>Australia</v>
      </c>
      <c r="D69" s="943"/>
      <c r="E69" s="1"/>
      <c r="F69" s="1"/>
      <c r="G69" s="1"/>
      <c r="H69" s="1"/>
      <c r="I69" s="352"/>
      <c r="J69" s="1"/>
      <c r="K69" s="1"/>
      <c r="L69" s="1"/>
      <c r="M69" s="357"/>
      <c r="N69" s="358"/>
    </row>
    <row r="70" spans="1:14" ht="15" customHeight="1">
      <c r="A70" s="952"/>
      <c r="B70" s="8" t="s">
        <v>144</v>
      </c>
      <c r="C70" s="15" t="str">
        <f ca="1">IF(SUM(MUNDIAL!$T$30:$T$33)=12,MUNDIAL!R32,B70)</f>
        <v>Túnez</v>
      </c>
      <c r="D70" s="943"/>
      <c r="E70" s="1"/>
      <c r="F70" s="1"/>
      <c r="G70" s="1"/>
      <c r="H70" s="1"/>
      <c r="I70" s="352"/>
      <c r="J70" s="1"/>
      <c r="K70" s="1"/>
      <c r="L70" s="1"/>
      <c r="M70" s="357"/>
      <c r="N70" s="358"/>
    </row>
    <row r="71" spans="1:14" ht="15" customHeight="1">
      <c r="A71" s="952"/>
      <c r="B71" s="8" t="s">
        <v>145</v>
      </c>
      <c r="C71" s="15" t="str">
        <f ca="1">IF(SUM(MUNDIAL!$T$30:$T$33)=12,MUNDIAL!R33,B71)</f>
        <v>Dinamarca</v>
      </c>
      <c r="D71" s="943"/>
      <c r="E71" s="1"/>
      <c r="F71" s="1"/>
      <c r="G71" s="1"/>
      <c r="H71" s="1"/>
      <c r="I71" s="352"/>
      <c r="J71" s="1"/>
      <c r="K71" s="1"/>
      <c r="L71" s="1"/>
      <c r="M71" s="357"/>
      <c r="N71" s="358"/>
    </row>
    <row r="72" spans="1:14" ht="15" customHeight="1">
      <c r="A72" s="954" t="s">
        <v>3</v>
      </c>
      <c r="B72" s="8" t="s">
        <v>146</v>
      </c>
      <c r="C72" s="15" t="str">
        <f ca="1">IF(SUM(MUNDIAL!$T$38:$T$41)=12,MUNDIAL!R38,B72)</f>
        <v>Japón</v>
      </c>
      <c r="D72" s="943"/>
      <c r="E72" s="1"/>
      <c r="F72" s="1"/>
      <c r="G72" s="1"/>
      <c r="H72" s="1"/>
      <c r="I72" s="352"/>
      <c r="J72" s="1"/>
      <c r="K72" s="1"/>
      <c r="L72" s="1"/>
      <c r="M72" s="357"/>
      <c r="N72" s="358"/>
    </row>
    <row r="73" spans="1:14" ht="15" customHeight="1">
      <c r="A73" s="954"/>
      <c r="B73" s="8" t="s">
        <v>147</v>
      </c>
      <c r="C73" s="15" t="str">
        <f ca="1">IF(SUM(MUNDIAL!$T$38:$T$41)=12,MUNDIAL!R39,B73)</f>
        <v>España</v>
      </c>
      <c r="D73" s="943"/>
      <c r="E73" s="1"/>
      <c r="F73" s="1"/>
      <c r="G73" s="1"/>
      <c r="H73" s="1"/>
      <c r="I73" s="352"/>
      <c r="J73" s="1"/>
      <c r="K73" s="1"/>
      <c r="L73" s="1"/>
      <c r="M73" s="357"/>
      <c r="N73" s="358"/>
    </row>
    <row r="74" spans="1:14" ht="15" customHeight="1">
      <c r="A74" s="954"/>
      <c r="B74" s="8" t="s">
        <v>148</v>
      </c>
      <c r="C74" s="15" t="str">
        <f ca="1">IF(SUM(MUNDIAL!$T$38:$T$41)=12,MUNDIAL!R40,B74)</f>
        <v>Alemania</v>
      </c>
      <c r="D74" s="943"/>
      <c r="E74" s="1"/>
      <c r="F74" s="1"/>
      <c r="G74" s="1"/>
      <c r="H74" s="1"/>
      <c r="I74" s="352"/>
      <c r="J74" s="1"/>
      <c r="K74" s="1"/>
      <c r="L74" s="1"/>
      <c r="M74" s="357"/>
      <c r="N74" s="358"/>
    </row>
    <row r="75" spans="1:14" ht="15" customHeight="1">
      <c r="A75" s="954"/>
      <c r="B75" s="8" t="s">
        <v>149</v>
      </c>
      <c r="C75" s="15" t="str">
        <f ca="1">IF(SUM(MUNDIAL!$T$38:$T$41)=12,MUNDIAL!R41,B75)</f>
        <v>Costa Rica</v>
      </c>
      <c r="D75" s="943"/>
      <c r="E75" s="1"/>
      <c r="F75" s="1"/>
      <c r="G75" s="1"/>
      <c r="H75" s="1"/>
      <c r="I75" s="352"/>
      <c r="J75" s="1"/>
      <c r="K75" s="1"/>
      <c r="L75" s="1"/>
      <c r="M75" s="357"/>
      <c r="N75" s="358"/>
    </row>
    <row r="76" spans="1:14" ht="15" customHeight="1">
      <c r="A76" s="953" t="s">
        <v>4</v>
      </c>
      <c r="B76" s="8" t="s">
        <v>150</v>
      </c>
      <c r="C76" s="15" t="str">
        <f ca="1">IF(SUM(MUNDIAL!$T$46:$T$49)=12,MUNDIAL!R46,B76)</f>
        <v>Marruecos</v>
      </c>
      <c r="D76" s="943"/>
      <c r="E76" s="1"/>
      <c r="F76" s="1"/>
      <c r="G76" s="1"/>
      <c r="H76" s="1"/>
      <c r="I76" s="352"/>
      <c r="J76" s="1"/>
      <c r="K76" s="1"/>
      <c r="L76" s="1"/>
      <c r="M76" s="357"/>
      <c r="N76" s="358"/>
    </row>
    <row r="77" spans="1:14" ht="15" customHeight="1">
      <c r="A77" s="953"/>
      <c r="B77" s="8" t="s">
        <v>151</v>
      </c>
      <c r="C77" s="15" t="str">
        <f ca="1">IF(SUM(MUNDIAL!$T$46:$T$49)=12,MUNDIAL!R47,B77)</f>
        <v>Croacia</v>
      </c>
      <c r="D77" s="943"/>
      <c r="E77" s="1"/>
      <c r="F77" s="1"/>
      <c r="G77" s="1"/>
      <c r="H77" s="1"/>
      <c r="I77" s="352"/>
      <c r="J77" s="1"/>
      <c r="K77" s="1"/>
      <c r="L77" s="1"/>
      <c r="M77" s="357"/>
      <c r="N77" s="358"/>
    </row>
    <row r="78" spans="1:14" ht="15" customHeight="1">
      <c r="A78" s="953"/>
      <c r="B78" s="8" t="s">
        <v>152</v>
      </c>
      <c r="C78" s="15" t="str">
        <f ca="1">IF(SUM(MUNDIAL!$T$46:$T$49)=12,MUNDIAL!R48,B78)</f>
        <v>Bélgica</v>
      </c>
      <c r="D78" s="943"/>
      <c r="E78" s="1"/>
      <c r="F78" s="1"/>
      <c r="G78" s="1"/>
      <c r="H78" s="1"/>
      <c r="I78" s="352"/>
      <c r="J78" s="1"/>
      <c r="K78" s="1"/>
      <c r="L78" s="1"/>
      <c r="M78" s="357"/>
      <c r="N78" s="358"/>
    </row>
    <row r="79" spans="1:14" ht="15" customHeight="1">
      <c r="A79" s="953"/>
      <c r="B79" s="8" t="s">
        <v>153</v>
      </c>
      <c r="C79" s="15" t="str">
        <f ca="1">IF(SUM(MUNDIAL!$T$46:$T$49)=12,MUNDIAL!R49,B79)</f>
        <v>Canadá</v>
      </c>
      <c r="D79" s="943"/>
      <c r="E79" s="1"/>
      <c r="F79" s="1"/>
      <c r="G79" s="1"/>
      <c r="H79" s="1"/>
      <c r="I79" s="352"/>
      <c r="J79" s="1"/>
      <c r="K79" s="1"/>
      <c r="L79" s="1"/>
      <c r="M79" s="357"/>
      <c r="N79" s="358"/>
    </row>
    <row r="80" spans="1:14" ht="15" customHeight="1">
      <c r="A80" s="959" t="s">
        <v>7</v>
      </c>
      <c r="B80" s="8" t="s">
        <v>213</v>
      </c>
      <c r="C80" s="15" t="str">
        <f ca="1">IF(SUM(MUNDIAL!$T$54:$T$57)=12,MUNDIAL!R54,B80)</f>
        <v>Brasil</v>
      </c>
      <c r="D80" s="943"/>
      <c r="E80" s="1"/>
      <c r="F80" s="1"/>
      <c r="G80" s="1"/>
      <c r="H80" s="1"/>
      <c r="I80" s="352"/>
      <c r="J80" s="1"/>
      <c r="K80" s="1"/>
      <c r="L80" s="1"/>
      <c r="M80" s="357"/>
      <c r="N80" s="358"/>
    </row>
    <row r="81" spans="1:14" ht="15" customHeight="1">
      <c r="A81" s="959"/>
      <c r="B81" s="8" t="s">
        <v>214</v>
      </c>
      <c r="C81" s="15" t="str">
        <f ca="1">IF(SUM(MUNDIAL!$T$54:$T$57)=12,MUNDIAL!R55,B81)</f>
        <v>Suiza</v>
      </c>
      <c r="D81" s="943"/>
      <c r="E81" s="1"/>
      <c r="F81" s="1"/>
      <c r="G81" s="1"/>
      <c r="H81" s="1"/>
      <c r="I81" s="352"/>
      <c r="J81" s="1"/>
      <c r="K81" s="1"/>
      <c r="L81" s="1"/>
      <c r="M81" s="357"/>
      <c r="N81" s="358"/>
    </row>
    <row r="82" spans="1:14" ht="15" customHeight="1">
      <c r="A82" s="959"/>
      <c r="B82" s="8" t="s">
        <v>215</v>
      </c>
      <c r="C82" s="15" t="str">
        <f ca="1">IF(SUM(MUNDIAL!$T$54:$T$57)=12,MUNDIAL!R56,B82)</f>
        <v>Camerún</v>
      </c>
      <c r="D82" s="943"/>
      <c r="E82" s="1"/>
      <c r="F82" s="1"/>
      <c r="G82" s="1"/>
      <c r="H82" s="1"/>
      <c r="I82" s="352"/>
      <c r="J82" s="1"/>
      <c r="K82" s="1"/>
      <c r="L82" s="1"/>
      <c r="M82" s="357"/>
      <c r="N82" s="358"/>
    </row>
    <row r="83" spans="1:14" ht="15" customHeight="1">
      <c r="A83" s="959"/>
      <c r="B83" s="8" t="s">
        <v>216</v>
      </c>
      <c r="C83" s="15" t="str">
        <f ca="1">IF(SUM(MUNDIAL!$T$54:$T$57)=12,MUNDIAL!R57,B83)</f>
        <v>Serbia</v>
      </c>
      <c r="D83" s="943"/>
      <c r="E83" s="1"/>
      <c r="F83" s="1"/>
      <c r="G83" s="1"/>
      <c r="H83" s="1"/>
      <c r="I83" s="352"/>
      <c r="J83" s="1"/>
      <c r="K83" s="1"/>
      <c r="L83" s="1"/>
      <c r="M83" s="357"/>
      <c r="N83" s="358"/>
    </row>
    <row r="84" spans="1:14" ht="15" customHeight="1">
      <c r="A84" s="960" t="s">
        <v>190</v>
      </c>
      <c r="B84" s="8" t="s">
        <v>212</v>
      </c>
      <c r="C84" s="15" t="str">
        <f ca="1">IF(SUM(MUNDIAL!$T$62:$T$65)=12,MUNDIAL!R62,B83)</f>
        <v>Portugal</v>
      </c>
      <c r="D84" s="943"/>
      <c r="E84" s="1"/>
      <c r="F84" s="1"/>
      <c r="G84" s="1"/>
      <c r="H84" s="1"/>
      <c r="I84" s="352"/>
      <c r="J84" s="1"/>
      <c r="K84" s="1"/>
      <c r="L84" s="1"/>
      <c r="M84" s="357"/>
      <c r="N84" s="358"/>
    </row>
    <row r="85" spans="1:14" ht="15" customHeight="1">
      <c r="A85" s="960"/>
      <c r="B85" s="8" t="s">
        <v>217</v>
      </c>
      <c r="C85" s="15" t="str">
        <f ca="1">IF(SUM(MUNDIAL!$T$62:$T$65)=12,MUNDIAL!R63,B84)</f>
        <v>Corea del Sur</v>
      </c>
      <c r="D85" s="943"/>
      <c r="E85" s="1"/>
      <c r="F85" s="1"/>
      <c r="G85" s="1"/>
      <c r="H85" s="1"/>
      <c r="I85" s="352"/>
      <c r="J85" s="1"/>
      <c r="K85" s="1"/>
      <c r="L85" s="1"/>
      <c r="M85" s="357"/>
      <c r="N85" s="358"/>
    </row>
    <row r="86" spans="1:14" ht="15" customHeight="1">
      <c r="A86" s="960"/>
      <c r="B86" s="8" t="s">
        <v>218</v>
      </c>
      <c r="C86" s="15" t="str">
        <f ca="1">IF(SUM(MUNDIAL!$T$62:$T$65)=12,MUNDIAL!R64,B85)</f>
        <v>Uruguay</v>
      </c>
      <c r="D86" s="943"/>
      <c r="E86" s="1"/>
      <c r="F86" s="1"/>
      <c r="G86" s="1"/>
      <c r="H86" s="1"/>
      <c r="I86" s="352"/>
      <c r="J86" s="1"/>
      <c r="K86" s="1"/>
      <c r="L86" s="1"/>
      <c r="M86" s="357"/>
      <c r="N86" s="358"/>
    </row>
    <row r="87" spans="1:14" ht="15" customHeight="1">
      <c r="A87" s="960"/>
      <c r="B87" s="8" t="s">
        <v>219</v>
      </c>
      <c r="C87" s="15" t="str">
        <f ca="1">IF(SUM(MUNDIAL!$T$62:$T$65)=12,MUNDIAL!R65,B86)</f>
        <v>Ghana</v>
      </c>
      <c r="D87" s="943"/>
      <c r="E87" s="1"/>
      <c r="F87" s="1"/>
      <c r="G87" s="1"/>
      <c r="H87" s="1"/>
      <c r="I87" s="352"/>
      <c r="J87" s="1"/>
      <c r="K87" s="1"/>
      <c r="L87" s="1"/>
      <c r="M87" s="357"/>
      <c r="N87" s="358"/>
    </row>
    <row r="88" spans="1:14" ht="15" customHeight="1">
      <c r="C88" s="15"/>
      <c r="D88" s="943"/>
      <c r="E88" s="1"/>
      <c r="F88" s="1"/>
      <c r="G88" s="1"/>
      <c r="H88" s="1"/>
      <c r="I88" s="352"/>
      <c r="J88" s="1"/>
      <c r="K88" s="1"/>
      <c r="L88" s="1"/>
      <c r="M88" s="357"/>
      <c r="N88" s="358"/>
    </row>
    <row r="89" spans="1:14" ht="18.95" customHeight="1">
      <c r="B89" s="12" t="s">
        <v>154</v>
      </c>
      <c r="C89" s="15"/>
      <c r="D89" s="943"/>
      <c r="E89" s="1"/>
      <c r="F89" s="1"/>
      <c r="G89" s="1"/>
      <c r="H89" s="1"/>
      <c r="I89" s="352"/>
      <c r="J89" s="1"/>
      <c r="K89" s="1"/>
      <c r="L89" s="1"/>
      <c r="M89" s="357"/>
      <c r="N89" s="358"/>
    </row>
    <row r="90" spans="1:14" ht="15" customHeight="1">
      <c r="A90" s="941" t="s">
        <v>137</v>
      </c>
      <c r="B90" s="8" t="s">
        <v>155</v>
      </c>
      <c r="C90" s="15" t="str">
        <f ca="1">MUNDIAL!I69</f>
        <v>Paises Bajos</v>
      </c>
      <c r="D90" s="943"/>
      <c r="E90" s="1"/>
      <c r="F90" s="1"/>
      <c r="G90" s="1"/>
      <c r="H90" s="1"/>
      <c r="I90" s="352"/>
      <c r="J90" s="1"/>
      <c r="K90" s="1"/>
      <c r="L90" s="1"/>
      <c r="M90" s="357"/>
      <c r="N90" s="358"/>
    </row>
    <row r="91" spans="1:14" ht="15" customHeight="1">
      <c r="A91" s="941"/>
      <c r="B91" s="8" t="s">
        <v>155</v>
      </c>
      <c r="C91" s="15" t="str">
        <f ca="1">MUNDIAL!I70</f>
        <v>Argentina</v>
      </c>
      <c r="D91" s="943"/>
      <c r="E91" s="1"/>
      <c r="F91" s="1"/>
      <c r="G91" s="1"/>
      <c r="H91" s="1"/>
      <c r="I91" s="352"/>
      <c r="J91" s="1"/>
      <c r="K91" s="1"/>
      <c r="L91" s="1"/>
      <c r="M91" s="357"/>
      <c r="N91" s="358"/>
    </row>
    <row r="92" spans="1:14" ht="15" customHeight="1">
      <c r="A92" s="941"/>
      <c r="B92" s="8" t="s">
        <v>155</v>
      </c>
      <c r="C92" s="15" t="str">
        <f ca="1">MUNDIAL!I71</f>
        <v>Francia</v>
      </c>
      <c r="D92" s="943"/>
      <c r="E92" s="1"/>
      <c r="F92" s="1"/>
      <c r="G92" s="1"/>
      <c r="H92" s="1"/>
      <c r="I92" s="352"/>
      <c r="J92" s="1"/>
      <c r="K92" s="1"/>
      <c r="L92" s="1"/>
      <c r="M92" s="357"/>
      <c r="N92" s="358"/>
    </row>
    <row r="93" spans="1:14" ht="15" customHeight="1">
      <c r="A93" s="941"/>
      <c r="B93" s="8" t="s">
        <v>155</v>
      </c>
      <c r="C93" s="15" t="str">
        <f ca="1">MUNDIAL!I72</f>
        <v>Inglaterra</v>
      </c>
      <c r="D93" s="943"/>
      <c r="E93" s="1"/>
      <c r="F93" s="1"/>
      <c r="G93" s="1"/>
      <c r="H93" s="1"/>
      <c r="I93" s="352"/>
      <c r="J93" s="1"/>
      <c r="K93" s="1"/>
      <c r="L93" s="1"/>
      <c r="M93" s="357"/>
      <c r="N93" s="358"/>
    </row>
    <row r="94" spans="1:14" ht="15" customHeight="1">
      <c r="A94" s="941"/>
      <c r="B94" s="8" t="s">
        <v>155</v>
      </c>
      <c r="C94" s="15" t="str">
        <f ca="1">MUNDIAL!I73</f>
        <v>Japón</v>
      </c>
      <c r="D94" s="943"/>
      <c r="E94" s="1"/>
      <c r="F94" s="1"/>
      <c r="G94" s="1"/>
      <c r="H94" s="1"/>
      <c r="I94" s="352"/>
      <c r="J94" s="1"/>
      <c r="K94" s="1"/>
      <c r="L94" s="1"/>
      <c r="M94" s="357"/>
      <c r="N94" s="358"/>
    </row>
    <row r="95" spans="1:14" ht="15" customHeight="1">
      <c r="A95" s="941"/>
      <c r="B95" s="8" t="s">
        <v>155</v>
      </c>
      <c r="C95" s="15" t="str">
        <f ca="1">MUNDIAL!I74</f>
        <v>Brasil</v>
      </c>
      <c r="D95" s="943"/>
      <c r="E95" s="1"/>
      <c r="F95" s="1"/>
      <c r="G95" s="1"/>
      <c r="H95" s="1"/>
      <c r="I95" s="352"/>
      <c r="J95" s="1"/>
      <c r="K95" s="1"/>
      <c r="L95" s="1"/>
      <c r="M95" s="357"/>
      <c r="N95" s="358"/>
    </row>
    <row r="96" spans="1:14" ht="15" customHeight="1">
      <c r="A96" s="941"/>
      <c r="B96" s="8" t="s">
        <v>155</v>
      </c>
      <c r="C96" s="15" t="str">
        <f ca="1">MUNDIAL!I75</f>
        <v>Marruecos</v>
      </c>
      <c r="D96" s="943"/>
      <c r="E96" s="1"/>
      <c r="F96" s="1"/>
      <c r="G96" s="1"/>
      <c r="H96" s="1"/>
      <c r="I96" s="352"/>
      <c r="J96" s="1"/>
      <c r="K96" s="1"/>
      <c r="L96" s="1"/>
      <c r="M96" s="357"/>
      <c r="N96" s="358"/>
    </row>
    <row r="97" spans="1:14" ht="15" customHeight="1">
      <c r="A97" s="941"/>
      <c r="B97" s="8" t="s">
        <v>155</v>
      </c>
      <c r="C97" s="15" t="str">
        <f ca="1">MUNDIAL!I76</f>
        <v>Portugal</v>
      </c>
      <c r="D97" s="943"/>
      <c r="E97" s="1"/>
      <c r="F97" s="1"/>
      <c r="G97" s="1"/>
      <c r="H97" s="1"/>
      <c r="I97" s="352"/>
      <c r="J97" s="1"/>
      <c r="K97" s="1"/>
      <c r="L97" s="1"/>
      <c r="M97" s="357"/>
      <c r="N97" s="358"/>
    </row>
    <row r="98" spans="1:14" ht="15" customHeight="1">
      <c r="A98" s="941"/>
      <c r="B98" s="8" t="s">
        <v>155</v>
      </c>
      <c r="C98" s="15" t="str">
        <f ca="1">MUNDIAL!N69</f>
        <v>Estados unidos</v>
      </c>
      <c r="D98" s="943"/>
      <c r="E98" s="1"/>
      <c r="F98" s="1"/>
      <c r="G98" s="1"/>
      <c r="H98" s="1"/>
      <c r="I98" s="352"/>
      <c r="J98" s="1"/>
      <c r="K98" s="1"/>
      <c r="L98" s="1"/>
      <c r="M98" s="357"/>
      <c r="N98" s="358"/>
    </row>
    <row r="99" spans="1:14" ht="15" customHeight="1">
      <c r="A99" s="941"/>
      <c r="B99" s="8" t="s">
        <v>155</v>
      </c>
      <c r="C99" s="15" t="str">
        <f ca="1">MUNDIAL!N70</f>
        <v>Australia</v>
      </c>
      <c r="D99" s="943"/>
      <c r="E99" s="1"/>
      <c r="F99" s="1"/>
      <c r="G99" s="1"/>
      <c r="H99" s="1"/>
      <c r="I99" s="352"/>
      <c r="J99" s="1"/>
      <c r="K99" s="1"/>
      <c r="L99" s="1"/>
      <c r="M99" s="357"/>
      <c r="N99" s="358"/>
    </row>
    <row r="100" spans="1:14" ht="15" customHeight="1">
      <c r="A100" s="941"/>
      <c r="B100" s="8" t="s">
        <v>155</v>
      </c>
      <c r="C100" s="15" t="str">
        <f ca="1">MUNDIAL!N71</f>
        <v>Polonia</v>
      </c>
      <c r="D100" s="943"/>
      <c r="E100" s="1"/>
      <c r="F100" s="1"/>
      <c r="G100" s="1"/>
      <c r="H100" s="1"/>
      <c r="I100" s="352"/>
      <c r="J100" s="1"/>
      <c r="K100" s="1"/>
      <c r="L100" s="1"/>
      <c r="M100" s="357"/>
      <c r="N100" s="358"/>
    </row>
    <row r="101" spans="1:14" ht="15" customHeight="1">
      <c r="A101" s="941"/>
      <c r="B101" s="8" t="s">
        <v>155</v>
      </c>
      <c r="C101" s="15" t="str">
        <f ca="1">MUNDIAL!N72</f>
        <v>Senegal</v>
      </c>
      <c r="D101" s="943"/>
      <c r="E101" s="1"/>
      <c r="F101" s="1"/>
      <c r="G101" s="1"/>
      <c r="H101" s="1"/>
      <c r="I101" s="352"/>
      <c r="J101" s="1"/>
      <c r="K101" s="1"/>
      <c r="L101" s="1"/>
      <c r="M101" s="357"/>
      <c r="N101" s="358"/>
    </row>
    <row r="102" spans="1:14" ht="15" customHeight="1">
      <c r="A102" s="941"/>
      <c r="B102" s="8" t="s">
        <v>155</v>
      </c>
      <c r="C102" s="15" t="str">
        <f ca="1">MUNDIAL!N73</f>
        <v>Croacia</v>
      </c>
      <c r="D102" s="943"/>
      <c r="E102" s="1"/>
      <c r="F102" s="1"/>
      <c r="G102" s="1"/>
      <c r="H102" s="1"/>
      <c r="I102" s="352"/>
      <c r="J102" s="1"/>
      <c r="K102" s="1"/>
      <c r="L102" s="1"/>
      <c r="M102" s="357"/>
      <c r="N102" s="358"/>
    </row>
    <row r="103" spans="1:14" ht="15" customHeight="1">
      <c r="A103" s="941"/>
      <c r="B103" s="8" t="s">
        <v>155</v>
      </c>
      <c r="C103" s="15" t="str">
        <f ca="1">MUNDIAL!N74</f>
        <v>Corea del Sur</v>
      </c>
      <c r="D103" s="943"/>
      <c r="E103" s="1"/>
      <c r="F103" s="1"/>
      <c r="G103" s="1"/>
      <c r="H103" s="1"/>
      <c r="I103" s="352"/>
      <c r="J103" s="1"/>
      <c r="K103" s="1"/>
      <c r="L103" s="1"/>
      <c r="M103" s="357"/>
      <c r="N103" s="358"/>
    </row>
    <row r="104" spans="1:14" ht="15" customHeight="1">
      <c r="A104" s="941"/>
      <c r="B104" s="8" t="s">
        <v>155</v>
      </c>
      <c r="C104" s="15" t="str">
        <f ca="1">MUNDIAL!N75</f>
        <v>España</v>
      </c>
      <c r="D104" s="943"/>
      <c r="E104" s="1"/>
      <c r="F104" s="1"/>
      <c r="G104" s="1"/>
      <c r="H104" s="1"/>
      <c r="I104" s="352"/>
      <c r="J104" s="1"/>
      <c r="K104" s="1"/>
      <c r="L104" s="1"/>
      <c r="M104" s="357"/>
      <c r="N104" s="358"/>
    </row>
    <row r="105" spans="1:14" ht="15" customHeight="1">
      <c r="A105" s="941"/>
      <c r="B105" s="8" t="s">
        <v>155</v>
      </c>
      <c r="C105" s="15" t="str">
        <f ca="1">MUNDIAL!N76</f>
        <v>Suiza</v>
      </c>
      <c r="D105" s="943"/>
      <c r="E105" s="1"/>
      <c r="F105" s="1"/>
      <c r="G105" s="1"/>
      <c r="H105" s="1"/>
      <c r="I105" s="359"/>
      <c r="J105" s="1"/>
      <c r="K105" s="1"/>
      <c r="L105" s="1"/>
      <c r="M105" s="357"/>
      <c r="N105" s="358"/>
    </row>
    <row r="106" spans="1:14" ht="20.100000000000001" customHeight="1">
      <c r="C106" s="15"/>
      <c r="D106" s="1"/>
      <c r="E106" s="970" t="s">
        <v>228</v>
      </c>
      <c r="F106" s="971"/>
      <c r="G106" s="971"/>
      <c r="H106" s="971"/>
      <c r="I106" s="971"/>
      <c r="J106" s="971"/>
      <c r="K106" s="971"/>
      <c r="L106" s="972"/>
      <c r="M106" s="343"/>
      <c r="N106" s="358"/>
    </row>
    <row r="107" spans="1:14" ht="23.1" customHeight="1">
      <c r="B107" s="12" t="s">
        <v>156</v>
      </c>
      <c r="C107" s="15"/>
      <c r="D107" s="1"/>
      <c r="E107" s="973" t="s">
        <v>185</v>
      </c>
      <c r="F107" s="967"/>
      <c r="G107" s="967"/>
      <c r="H107" s="967"/>
      <c r="I107" s="967"/>
      <c r="J107" s="967"/>
      <c r="K107" s="967"/>
      <c r="L107" s="974"/>
      <c r="M107" s="341"/>
      <c r="N107" s="358"/>
    </row>
    <row r="108" spans="1:14" ht="15" customHeight="1">
      <c r="A108" s="941" t="s">
        <v>137</v>
      </c>
      <c r="B108" t="str">
        <f ca="1">CONCATENATE(MUNDIAL!I69,"-",MUNDIAL!N69)</f>
        <v>Paises Bajos-Estados unidos</v>
      </c>
      <c r="C108" s="15" t="str">
        <f ca="1">CONCATENATE(MUNDIAL!I69,"-",MUNDIAL!N69,"·",IF(MUNDIAL!K69&gt;MUNDIAL!L69,1,IF(MUNDIAL!K69&lt;MUNDIAL!L69,2,IF(AND(MUNDIAL!K69=MUNDIAL!L69,MUNDIAL!K69&lt;&gt;"",MUNDIAL!L69&lt;&gt;""),"X",0))),"|",MUNDIAL!K69,"-",MUNDIAL!L69)</f>
        <v>Paises Bajos-Estados unidos·1|3-1</v>
      </c>
      <c r="D108" s="940" t="s">
        <v>137</v>
      </c>
      <c r="E108" s="962" t="s">
        <v>229</v>
      </c>
      <c r="F108" s="963"/>
      <c r="G108" s="963"/>
      <c r="H108" s="963"/>
      <c r="I108" s="342"/>
      <c r="J108" s="1"/>
      <c r="K108" s="1"/>
      <c r="L108" s="1"/>
      <c r="M108" s="341"/>
      <c r="N108" s="358"/>
    </row>
    <row r="109" spans="1:14" ht="15" customHeight="1">
      <c r="A109" s="941"/>
      <c r="B109" t="str">
        <f ca="1">CONCATENATE(MUNDIAL!I70,"-",MUNDIAL!N70)</f>
        <v>Argentina-Australia</v>
      </c>
      <c r="C109" s="15" t="str">
        <f ca="1">CONCATENATE(MUNDIAL!I70,"-",MUNDIAL!N70,"·",IF(MUNDIAL!K70&gt;MUNDIAL!L70,1,IF(MUNDIAL!K70&lt;MUNDIAL!L70,2,IF(AND(MUNDIAL!K70=MUNDIAL!L70,MUNDIAL!K70&lt;&gt;"",MUNDIAL!L70&lt;&gt;""),"X",0))),"|",MUNDIAL!K70,"-",MUNDIAL!L70)</f>
        <v>Argentina-Australia·1|2-1</v>
      </c>
      <c r="D109" s="940"/>
      <c r="E109" s="946"/>
      <c r="F109" s="947"/>
      <c r="G109" s="947"/>
      <c r="H109" s="947"/>
      <c r="I109" s="342"/>
      <c r="J109" s="1"/>
      <c r="K109" s="1"/>
      <c r="L109" s="1"/>
      <c r="M109" s="341"/>
      <c r="N109" s="358"/>
    </row>
    <row r="110" spans="1:14" ht="15" customHeight="1">
      <c r="A110" s="941"/>
      <c r="B110" t="str">
        <f ca="1">CONCATENATE(MUNDIAL!I71,"-",MUNDIAL!N71)</f>
        <v>Francia-Polonia</v>
      </c>
      <c r="C110" s="15" t="str">
        <f ca="1">CONCATENATE(MUNDIAL!I71,"-",MUNDIAL!N71,"·",IF(MUNDIAL!K71&gt;MUNDIAL!L71,1,IF(MUNDIAL!K71&lt;MUNDIAL!L71,2,IF(AND(MUNDIAL!K71=MUNDIAL!L71,MUNDIAL!K71&lt;&gt;"",MUNDIAL!L71&lt;&gt;""),"X",0))),"|",MUNDIAL!K71,"-",MUNDIAL!L71)</f>
        <v>Francia-Polonia·1|3-1</v>
      </c>
      <c r="D110" s="940"/>
      <c r="E110" s="946"/>
      <c r="F110" s="947"/>
      <c r="G110" s="947"/>
      <c r="H110" s="947"/>
      <c r="I110" s="342"/>
      <c r="J110" s="1"/>
      <c r="K110" s="1"/>
      <c r="L110" s="1"/>
      <c r="M110" s="341"/>
      <c r="N110" s="358"/>
    </row>
    <row r="111" spans="1:14" ht="15" customHeight="1">
      <c r="A111" s="941"/>
      <c r="B111" t="str">
        <f ca="1">CONCATENATE(MUNDIAL!I72,"-",MUNDIAL!N72)</f>
        <v>Inglaterra-Senegal</v>
      </c>
      <c r="C111" s="15" t="str">
        <f ca="1">CONCATENATE(MUNDIAL!I72,"-",MUNDIAL!N72,"·",IF(MUNDIAL!K72&gt;MUNDIAL!L72,1,IF(MUNDIAL!K72&lt;MUNDIAL!L72,2,IF(AND(MUNDIAL!K72=MUNDIAL!L72,MUNDIAL!K72&lt;&gt;"",MUNDIAL!L72&lt;&gt;""),"X",0))),"|",MUNDIAL!K72,"-",MUNDIAL!L72)</f>
        <v>Inglaterra-Senegal·1|3-0</v>
      </c>
      <c r="D111" s="940"/>
      <c r="E111" s="946"/>
      <c r="F111" s="947"/>
      <c r="G111" s="947"/>
      <c r="H111" s="947"/>
      <c r="I111" s="342"/>
      <c r="J111" s="1"/>
      <c r="K111" s="1"/>
      <c r="L111" s="1"/>
      <c r="M111" s="341"/>
      <c r="N111" s="358"/>
    </row>
    <row r="112" spans="1:14" ht="15" customHeight="1">
      <c r="A112" s="941"/>
      <c r="B112" t="str">
        <f ca="1">CONCATENATE(MUNDIAL!I73,"-",MUNDIAL!N73)</f>
        <v>Japón-Croacia</v>
      </c>
      <c r="C112" s="15" t="str">
        <f ca="1">CONCATENATE(MUNDIAL!I73,"-",MUNDIAL!N73,"·",IF(MUNDIAL!K73&gt;MUNDIAL!L73,1,IF(MUNDIAL!K73&lt;MUNDIAL!L73,2,IF(AND(MUNDIAL!K73=MUNDIAL!L73,MUNDIAL!K73&lt;&gt;"",MUNDIAL!L73&lt;&gt;""),"X",0))),"|",MUNDIAL!K73,"-",MUNDIAL!L73)</f>
        <v>Japón-Croacia·X|1-1</v>
      </c>
      <c r="D112" s="940"/>
      <c r="E112" s="1"/>
      <c r="F112" s="1"/>
      <c r="G112" s="1"/>
      <c r="H112" s="1"/>
      <c r="I112" s="342"/>
      <c r="J112" s="1"/>
      <c r="K112" s="1"/>
      <c r="L112" s="1"/>
      <c r="M112" s="341"/>
      <c r="N112" s="358"/>
    </row>
    <row r="113" spans="1:14" ht="15" customHeight="1">
      <c r="A113" s="941"/>
      <c r="B113" t="str">
        <f ca="1">CONCATENATE(MUNDIAL!I74,"-",MUNDIAL!N74)</f>
        <v>Brasil-Corea del Sur</v>
      </c>
      <c r="C113" s="15" t="str">
        <f ca="1">CONCATENATE(MUNDIAL!I74,"-",MUNDIAL!N74,"·",IF(MUNDIAL!K74&gt;MUNDIAL!L74,1,IF(MUNDIAL!K74&lt;MUNDIAL!L74,2,IF(AND(MUNDIAL!K74=MUNDIAL!L74,MUNDIAL!K74&lt;&gt;"",MUNDIAL!L74&lt;&gt;""),"X",0))),"|",MUNDIAL!K74,"-",MUNDIAL!L74)</f>
        <v>Brasil-Corea del Sur·1|4-1</v>
      </c>
      <c r="D113" s="940"/>
      <c r="E113" s="1"/>
      <c r="F113" s="1"/>
      <c r="G113" s="1"/>
      <c r="H113" s="1"/>
      <c r="I113" s="342"/>
      <c r="J113" s="1"/>
      <c r="K113" s="1"/>
      <c r="L113" s="1"/>
      <c r="M113" s="341"/>
      <c r="N113" s="358"/>
    </row>
    <row r="114" spans="1:14" ht="15" customHeight="1">
      <c r="A114" s="941"/>
      <c r="B114" t="str">
        <f ca="1">CONCATENATE(MUNDIAL!I75,"-",MUNDIAL!N75)</f>
        <v>Marruecos-España</v>
      </c>
      <c r="C114" s="15" t="str">
        <f ca="1">CONCATENATE(MUNDIAL!I75,"-",MUNDIAL!N75,"·",IF(MUNDIAL!K75&gt;MUNDIAL!L75,1,IF(MUNDIAL!K75&lt;MUNDIAL!L75,2,IF(AND(MUNDIAL!K75=MUNDIAL!L75,MUNDIAL!K75&lt;&gt;"",MUNDIAL!L75&lt;&gt;""),"X",0))),"|",MUNDIAL!K75,"-",MUNDIAL!L75)</f>
        <v>Marruecos-España·X|0-0</v>
      </c>
      <c r="D114" s="940"/>
      <c r="E114" s="1"/>
      <c r="F114" s="1"/>
      <c r="G114" s="1"/>
      <c r="H114" s="1"/>
      <c r="I114" s="342"/>
      <c r="J114" s="1"/>
      <c r="K114" s="1"/>
      <c r="L114" s="1"/>
      <c r="M114" s="341"/>
      <c r="N114" s="358"/>
    </row>
    <row r="115" spans="1:14" ht="15" customHeight="1">
      <c r="A115" s="941"/>
      <c r="B115" t="str">
        <f ca="1">CONCATENATE(MUNDIAL!I76,"-",MUNDIAL!N76)</f>
        <v>Portugal-Suiza</v>
      </c>
      <c r="C115" s="15" t="str">
        <f ca="1">CONCATENATE(MUNDIAL!I76,"-",MUNDIAL!N76,"·",IF(MUNDIAL!K76&gt;MUNDIAL!L76,1,IF(MUNDIAL!K76&lt;MUNDIAL!L76,2,IF(AND(MUNDIAL!K76=MUNDIAL!L76,MUNDIAL!K76&lt;&gt;"",MUNDIAL!L76&lt;&gt;""),"X",0))),"|",MUNDIAL!K76,"-",MUNDIAL!L76)</f>
        <v>Portugal-Suiza·1|6-1</v>
      </c>
      <c r="D115" s="940"/>
      <c r="E115" s="1"/>
      <c r="F115" s="1"/>
      <c r="G115" s="1"/>
      <c r="H115" s="1"/>
      <c r="I115" s="342"/>
      <c r="J115" s="1"/>
      <c r="K115" s="1"/>
      <c r="L115" s="1"/>
      <c r="M115" s="341"/>
      <c r="N115" s="358"/>
    </row>
    <row r="116" spans="1:14" ht="15" customHeight="1">
      <c r="C116" s="15"/>
      <c r="D116" s="940"/>
      <c r="E116" s="1"/>
      <c r="F116" s="1"/>
      <c r="G116" s="1"/>
      <c r="H116" s="1"/>
      <c r="I116" s="342"/>
      <c r="J116" s="1"/>
      <c r="K116" s="1"/>
      <c r="L116" s="1"/>
      <c r="M116" s="341"/>
      <c r="N116" s="358"/>
    </row>
    <row r="117" spans="1:14" ht="18.95" customHeight="1">
      <c r="B117" s="12" t="s">
        <v>105</v>
      </c>
      <c r="C117" s="15"/>
      <c r="D117" s="940"/>
      <c r="E117" s="1"/>
      <c r="F117" s="1"/>
      <c r="G117" s="1"/>
      <c r="H117" s="1"/>
      <c r="I117" s="342"/>
      <c r="J117" s="1"/>
      <c r="K117" s="1"/>
      <c r="L117" s="1"/>
      <c r="M117" s="341"/>
      <c r="N117" s="358"/>
    </row>
    <row r="118" spans="1:14" ht="15" customHeight="1">
      <c r="A118" s="941" t="s">
        <v>81</v>
      </c>
      <c r="B118" s="8" t="s">
        <v>106</v>
      </c>
      <c r="C118" s="15" t="str">
        <f ca="1">MUNDIAL!I80</f>
        <v>Croacia</v>
      </c>
      <c r="D118" s="940"/>
      <c r="E118" s="1"/>
      <c r="F118" s="1"/>
      <c r="G118" s="1"/>
      <c r="H118" s="1"/>
      <c r="I118" s="342"/>
      <c r="J118" s="1"/>
      <c r="K118" s="1"/>
      <c r="L118" s="1"/>
      <c r="M118" s="341"/>
      <c r="N118" s="358"/>
    </row>
    <row r="119" spans="1:14" ht="15" customHeight="1">
      <c r="A119" s="941"/>
      <c r="B119" s="8" t="s">
        <v>106</v>
      </c>
      <c r="C119" s="15" t="str">
        <f ca="1">MUNDIAL!I81</f>
        <v>Paises Bajos</v>
      </c>
      <c r="D119" s="940"/>
      <c r="E119" s="1"/>
      <c r="F119" s="1"/>
      <c r="G119" s="1"/>
      <c r="H119" s="1"/>
      <c r="I119" s="342"/>
      <c r="J119" s="1"/>
      <c r="K119" s="1"/>
      <c r="L119" s="1"/>
      <c r="M119" s="341"/>
      <c r="N119" s="358"/>
    </row>
    <row r="120" spans="1:14" ht="15" customHeight="1">
      <c r="A120" s="941"/>
      <c r="B120" s="8" t="s">
        <v>106</v>
      </c>
      <c r="C120" s="15" t="str">
        <f ca="1">MUNDIAL!I82</f>
        <v>Marruecos</v>
      </c>
      <c r="D120" s="940"/>
      <c r="E120" s="1"/>
      <c r="F120" s="1"/>
      <c r="G120" s="1"/>
      <c r="H120" s="1"/>
      <c r="I120" s="342"/>
      <c r="J120" s="1"/>
      <c r="K120" s="1"/>
      <c r="L120" s="1"/>
      <c r="M120" s="341"/>
      <c r="N120" s="358"/>
    </row>
    <row r="121" spans="1:14" ht="15" customHeight="1">
      <c r="A121" s="941"/>
      <c r="B121" s="8" t="s">
        <v>106</v>
      </c>
      <c r="C121" s="15" t="str">
        <f ca="1">MUNDIAL!I83</f>
        <v>Inglaterra</v>
      </c>
      <c r="D121" s="940"/>
      <c r="E121" s="1"/>
      <c r="F121" s="1"/>
      <c r="G121" s="1"/>
      <c r="H121" s="1"/>
      <c r="I121" s="342"/>
      <c r="J121" s="1"/>
      <c r="K121" s="1"/>
      <c r="L121" s="1"/>
      <c r="M121" s="341"/>
      <c r="N121" s="358"/>
    </row>
    <row r="122" spans="1:14" ht="15" customHeight="1">
      <c r="A122" s="941"/>
      <c r="B122" s="8" t="s">
        <v>106</v>
      </c>
      <c r="C122" s="15" t="str">
        <f ca="1">MUNDIAL!N80</f>
        <v>Brasil</v>
      </c>
      <c r="D122" s="940"/>
      <c r="E122" s="1"/>
      <c r="F122" s="1"/>
      <c r="G122" s="1"/>
      <c r="H122" s="1"/>
      <c r="I122" s="342"/>
      <c r="J122" s="1"/>
      <c r="K122" s="1"/>
      <c r="L122" s="1"/>
      <c r="M122" s="341"/>
      <c r="N122" s="358"/>
    </row>
    <row r="123" spans="1:14" ht="15" customHeight="1">
      <c r="A123" s="941"/>
      <c r="B123" s="8" t="s">
        <v>106</v>
      </c>
      <c r="C123" s="15" t="str">
        <f ca="1">MUNDIAL!N81</f>
        <v>Argentina</v>
      </c>
      <c r="D123" s="940"/>
      <c r="E123" s="1"/>
      <c r="F123" s="1"/>
      <c r="G123" s="1"/>
      <c r="H123" s="1"/>
      <c r="I123" s="342"/>
      <c r="J123" s="1"/>
      <c r="K123" s="1"/>
      <c r="L123" s="1"/>
      <c r="M123" s="341"/>
      <c r="N123" s="358"/>
    </row>
    <row r="124" spans="1:14" ht="15" customHeight="1">
      <c r="A124" s="941"/>
      <c r="B124" s="8" t="s">
        <v>106</v>
      </c>
      <c r="C124" s="15" t="str">
        <f ca="1">MUNDIAL!N82</f>
        <v>Portugal</v>
      </c>
      <c r="D124" s="940"/>
      <c r="E124" s="1"/>
      <c r="F124" s="1"/>
      <c r="G124" s="1"/>
      <c r="H124" s="1"/>
      <c r="I124" s="342"/>
      <c r="J124" s="1"/>
      <c r="K124" s="1"/>
      <c r="L124" s="1"/>
      <c r="M124" s="341"/>
      <c r="N124" s="358"/>
    </row>
    <row r="125" spans="1:14" ht="15" customHeight="1">
      <c r="A125" s="941"/>
      <c r="B125" s="8" t="s">
        <v>106</v>
      </c>
      <c r="C125" s="15" t="str">
        <f ca="1">MUNDIAL!N83</f>
        <v>Francia</v>
      </c>
      <c r="D125" s="940"/>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8.95" customHeight="1">
      <c r="B127" s="12" t="s">
        <v>107</v>
      </c>
      <c r="C127" s="15"/>
      <c r="D127" s="1"/>
      <c r="E127" s="1"/>
      <c r="F127" s="1"/>
      <c r="G127" s="1"/>
      <c r="H127" s="1"/>
      <c r="I127" s="344"/>
      <c r="J127" s="1"/>
      <c r="K127" s="1"/>
      <c r="L127" s="1"/>
      <c r="M127" s="341"/>
      <c r="N127" s="358"/>
    </row>
    <row r="128" spans="1:14" ht="15" customHeight="1">
      <c r="A128" s="941" t="s">
        <v>81</v>
      </c>
      <c r="B128" t="str">
        <f ca="1">CONCATENATE(MUNDIAL!I80,"-",MUNDIAL!N80)</f>
        <v>Croacia-Brasil</v>
      </c>
      <c r="C128" s="16" t="str">
        <f ca="1">CONCATENATE(MUNDIAL!I80,"-",MUNDIAL!N80,"·",IF(MUNDIAL!K80&gt;MUNDIAL!L80,1,IF(MUNDIAL!K80&lt;MUNDIAL!L80,2,IF(AND(MUNDIAL!K80=MUNDIAL!L80,MUNDIAL!K80&lt;&gt;"",MUNDIAL!L80&lt;&gt;""),"X",0))),"|",MUNDIAL!K80,"-",MUNDIAL!L80)</f>
        <v>Croacia-Brasil·2|0-2</v>
      </c>
      <c r="D128" s="940" t="s">
        <v>81</v>
      </c>
      <c r="E128" s="946" t="s">
        <v>230</v>
      </c>
      <c r="F128" s="947"/>
      <c r="G128" s="947"/>
      <c r="H128" s="947"/>
      <c r="I128" s="342"/>
      <c r="J128" s="1"/>
      <c r="K128" s="1"/>
      <c r="L128" s="1"/>
      <c r="M128" s="341"/>
      <c r="N128" s="358"/>
    </row>
    <row r="129" spans="1:14" ht="15" customHeight="1">
      <c r="A129" s="951"/>
      <c r="B129" t="str">
        <f ca="1">CONCATENATE(MUNDIAL!I81,"-",MUNDIAL!N81)</f>
        <v>Paises Bajos-Argentina</v>
      </c>
      <c r="C129" s="16" t="str">
        <f ca="1">CONCATENATE(MUNDIAL!I81,"-",MUNDIAL!N81,"·",IF(MUNDIAL!K81&gt;MUNDIAL!L81,1,IF(MUNDIAL!K81&lt;MUNDIAL!L81,2,IF(AND(MUNDIAL!K81=MUNDIAL!L81,MUNDIAL!K81&lt;&gt;"",MUNDIAL!L81&lt;&gt;""),"X",0))),"|",MUNDIAL!K81,"-",MUNDIAL!L81)</f>
        <v>Paises Bajos-Argentina·2|1-2</v>
      </c>
      <c r="D129" s="940"/>
      <c r="E129" s="946"/>
      <c r="F129" s="947"/>
      <c r="G129" s="947"/>
      <c r="H129" s="947"/>
      <c r="I129" s="342"/>
      <c r="J129" s="1"/>
      <c r="K129" s="1"/>
      <c r="L129" s="1"/>
      <c r="M129" s="341"/>
      <c r="N129" s="358"/>
    </row>
    <row r="130" spans="1:14" ht="15" customHeight="1">
      <c r="A130" s="951"/>
      <c r="B130" t="str">
        <f ca="1">CONCATENATE(MUNDIAL!I82,"-",MUNDIAL!N82)</f>
        <v>Marruecos-Portugal</v>
      </c>
      <c r="C130" s="16" t="str">
        <f ca="1">CONCATENATE(MUNDIAL!I82,"-",MUNDIAL!N82,"·",IF(MUNDIAL!K82&gt;MUNDIAL!L82,1,IF(MUNDIAL!K82&lt;MUNDIAL!L82,2,IF(AND(MUNDIAL!K82=MUNDIAL!L82,MUNDIAL!K82&lt;&gt;"",MUNDIAL!L82&lt;&gt;""),"X",0))),"|",MUNDIAL!K82,"-",MUNDIAL!L82)</f>
        <v>Marruecos-Portugal·2|0-3</v>
      </c>
      <c r="D130" s="940"/>
      <c r="E130" s="946"/>
      <c r="F130" s="947"/>
      <c r="G130" s="947"/>
      <c r="H130" s="947"/>
      <c r="I130" s="342"/>
      <c r="J130" s="1"/>
      <c r="K130" s="1"/>
      <c r="L130" s="1"/>
      <c r="M130" s="341"/>
      <c r="N130" s="358"/>
    </row>
    <row r="131" spans="1:14" ht="15" customHeight="1">
      <c r="A131" s="951"/>
      <c r="B131" t="str">
        <f ca="1">CONCATENATE(MUNDIAL!I83,"-",MUNDIAL!N83)</f>
        <v>Inglaterra-Francia</v>
      </c>
      <c r="C131" s="16" t="str">
        <f ca="1">CONCATENATE(MUNDIAL!I83,"-",MUNDIAL!N83,"·",IF(MUNDIAL!K83&gt;MUNDIAL!L83,1,IF(MUNDIAL!K83&lt;MUNDIAL!L83,2,IF(AND(MUNDIAL!K83=MUNDIAL!L83,MUNDIAL!K83&lt;&gt;"",MUNDIAL!L83&lt;&gt;""),"X",0))),"|",MUNDIAL!K83,"-",MUNDIAL!L83)</f>
        <v>Inglaterra-Francia·X|2-2</v>
      </c>
      <c r="D131" s="940"/>
      <c r="E131" s="946"/>
      <c r="F131" s="947"/>
      <c r="G131" s="947"/>
      <c r="H131" s="947"/>
      <c r="I131" s="342"/>
      <c r="J131" s="1"/>
      <c r="K131" s="1"/>
      <c r="L131" s="1"/>
      <c r="M131" s="341"/>
      <c r="N131" s="358"/>
    </row>
    <row r="132" spans="1:14">
      <c r="C132" s="15"/>
      <c r="D132" s="940"/>
      <c r="E132" s="1"/>
      <c r="F132" s="1"/>
      <c r="G132" s="1"/>
      <c r="H132" s="1"/>
      <c r="I132" s="342"/>
      <c r="J132" s="1"/>
      <c r="K132" s="1"/>
      <c r="L132" s="1"/>
      <c r="M132" s="341"/>
      <c r="N132" s="358"/>
    </row>
    <row r="133" spans="1:14" ht="18.75">
      <c r="B133" s="12" t="s">
        <v>108</v>
      </c>
      <c r="C133" s="15"/>
      <c r="D133" s="940"/>
      <c r="E133" s="1"/>
      <c r="F133" s="1"/>
      <c r="G133" s="1"/>
      <c r="H133" s="1"/>
      <c r="I133" s="342"/>
      <c r="J133" s="1"/>
      <c r="K133" s="1"/>
      <c r="L133" s="1"/>
      <c r="M133" s="341"/>
      <c r="N133" s="358"/>
    </row>
    <row r="134" spans="1:14">
      <c r="A134" s="941" t="s">
        <v>82</v>
      </c>
      <c r="B134" s="8" t="s">
        <v>109</v>
      </c>
      <c r="C134" s="15" t="str">
        <f ca="1">MUNDIAL!I86</f>
        <v>Argentina</v>
      </c>
      <c r="D134" s="940"/>
      <c r="E134" s="1"/>
      <c r="F134" s="1"/>
      <c r="G134" s="1"/>
      <c r="H134" s="1"/>
      <c r="I134" s="342"/>
      <c r="J134" s="1"/>
      <c r="K134" s="1"/>
      <c r="L134" s="1"/>
      <c r="M134" s="341"/>
      <c r="N134" s="358"/>
    </row>
    <row r="135" spans="1:14">
      <c r="A135" s="951"/>
      <c r="B135" s="8" t="s">
        <v>109</v>
      </c>
      <c r="C135" s="15" t="str">
        <f ca="1">MUNDIAL!I87</f>
        <v>Inglaterra</v>
      </c>
      <c r="D135" s="940"/>
      <c r="E135" s="1"/>
      <c r="F135" s="1"/>
      <c r="G135" s="1"/>
      <c r="H135" s="1"/>
      <c r="I135" s="342"/>
      <c r="J135" s="1"/>
      <c r="K135" s="1"/>
      <c r="L135" s="1"/>
      <c r="M135" s="341"/>
      <c r="N135" s="358"/>
    </row>
    <row r="136" spans="1:14">
      <c r="A136" s="951"/>
      <c r="B136" s="8" t="s">
        <v>109</v>
      </c>
      <c r="C136" s="15" t="str">
        <f ca="1">MUNDIAL!N86</f>
        <v>Brasil</v>
      </c>
      <c r="D136" s="940"/>
      <c r="E136" s="1"/>
      <c r="F136" s="1"/>
      <c r="G136" s="1"/>
      <c r="H136" s="1"/>
      <c r="I136" s="342"/>
      <c r="J136" s="1"/>
      <c r="K136" s="1"/>
      <c r="L136" s="1"/>
      <c r="M136" s="341"/>
      <c r="N136" s="358"/>
    </row>
    <row r="137" spans="1:14">
      <c r="A137" s="951"/>
      <c r="B137" s="8" t="s">
        <v>109</v>
      </c>
      <c r="C137" s="15" t="str">
        <f ca="1">MUNDIAL!N87</f>
        <v>Portugal</v>
      </c>
      <c r="D137" s="940"/>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8.95" customHeight="1">
      <c r="B139" s="12" t="s">
        <v>110</v>
      </c>
      <c r="C139" s="15"/>
      <c r="D139" s="1"/>
      <c r="E139" s="1"/>
      <c r="F139" s="1"/>
      <c r="G139" s="1"/>
      <c r="H139" s="1"/>
      <c r="I139" s="344"/>
      <c r="J139" s="1"/>
      <c r="K139" s="1"/>
      <c r="L139" s="1"/>
      <c r="M139" s="341"/>
      <c r="N139" s="358"/>
    </row>
    <row r="140" spans="1:14" ht="15" customHeight="1">
      <c r="A140" s="942" t="s">
        <v>82</v>
      </c>
      <c r="B140" t="str">
        <f ca="1">CONCATENATE(MUNDIAL!I86,"-",MUNDIAL!N86)</f>
        <v>Argentina-Brasil</v>
      </c>
      <c r="C140" s="16" t="str">
        <f ca="1">CONCATENATE(MUNDIAL!I86,"-",MUNDIAL!N86,"·",IF(MUNDIAL!K86&gt;MUNDIAL!L86,1,IF(MUNDIAL!K86&lt;MUNDIAL!L86,2,IF(AND(MUNDIAL!K86=MUNDIAL!L86,MUNDIAL!K86&lt;&gt;"",MUNDIAL!L86&lt;&gt;""),"X",0))),"|",MUNDIAL!K86,"-",MUNDIAL!L86)</f>
        <v>Argentina-Brasil·0|-</v>
      </c>
      <c r="D140" s="940" t="s">
        <v>82</v>
      </c>
      <c r="E140" s="944" t="s">
        <v>231</v>
      </c>
      <c r="F140" s="945"/>
      <c r="G140" s="945"/>
      <c r="H140" s="945"/>
      <c r="I140" s="342"/>
      <c r="J140" s="1"/>
      <c r="K140" s="1"/>
      <c r="L140" s="1"/>
      <c r="M140" s="341"/>
      <c r="N140" s="358"/>
    </row>
    <row r="141" spans="1:14" ht="15" customHeight="1">
      <c r="A141" s="942"/>
      <c r="B141" t="str">
        <f ca="1">CONCATENATE(MUNDIAL!I87,"-",MUNDIAL!N87)</f>
        <v>Inglaterra-Portugal</v>
      </c>
      <c r="C141" s="16" t="str">
        <f ca="1">CONCATENATE(MUNDIAL!I87,"-",MUNDIAL!N87,"·",IF(MUNDIAL!K87&gt;MUNDIAL!L87,1,IF(MUNDIAL!K87&lt;MUNDIAL!L87,2,IF(AND(MUNDIAL!K87=MUNDIAL!L87,MUNDIAL!K87&lt;&gt;"",MUNDIAL!L87&lt;&gt;""),"X",0))),"|",MUNDIAL!K87,"-",MUNDIAL!L87)</f>
        <v>Inglaterra-Portugal·0|-</v>
      </c>
      <c r="D141" s="940"/>
      <c r="E141" s="944"/>
      <c r="F141" s="945"/>
      <c r="G141" s="945"/>
      <c r="H141" s="945"/>
      <c r="I141" s="342"/>
      <c r="J141" s="1"/>
      <c r="K141" s="1"/>
      <c r="L141" s="1"/>
      <c r="M141" s="341"/>
      <c r="N141" s="358"/>
    </row>
    <row r="142" spans="1:14" ht="15" customHeight="1">
      <c r="C142" s="15"/>
      <c r="D142" s="940"/>
      <c r="E142" s="944"/>
      <c r="F142" s="945"/>
      <c r="G142" s="945"/>
      <c r="H142" s="945"/>
      <c r="I142" s="342"/>
      <c r="J142" s="1"/>
      <c r="K142" s="1"/>
      <c r="L142" s="1"/>
      <c r="M142" s="341"/>
      <c r="N142" s="358"/>
    </row>
    <row r="143" spans="1:14" ht="15" customHeight="1">
      <c r="B143" s="12" t="s">
        <v>221</v>
      </c>
      <c r="C143" s="15"/>
      <c r="D143" s="940"/>
      <c r="E143" s="944"/>
      <c r="F143" s="945"/>
      <c r="G143" s="945"/>
      <c r="H143" s="945"/>
      <c r="I143" s="342"/>
      <c r="J143" s="1"/>
      <c r="K143" s="1"/>
      <c r="L143" s="1"/>
      <c r="M143" s="341"/>
      <c r="N143" s="358"/>
    </row>
    <row r="144" spans="1:14" ht="15" customHeight="1">
      <c r="A144" s="942" t="s">
        <v>192</v>
      </c>
      <c r="B144" s="8" t="s">
        <v>220</v>
      </c>
      <c r="C144" s="15" t="str">
        <f>MUNDIAL!I90</f>
        <v>L61</v>
      </c>
      <c r="D144" s="940"/>
      <c r="E144" s="1"/>
      <c r="F144" s="1"/>
      <c r="G144" s="1"/>
      <c r="H144" s="1"/>
      <c r="I144" s="342"/>
      <c r="J144" s="1"/>
      <c r="K144" s="1"/>
      <c r="L144" s="1"/>
      <c r="M144" s="341"/>
      <c r="N144" s="358"/>
    </row>
    <row r="145" spans="1:14" ht="15" customHeight="1">
      <c r="A145" s="942"/>
      <c r="B145" s="8" t="s">
        <v>220</v>
      </c>
      <c r="C145" s="15" t="str">
        <f>MUNDIAL!N90</f>
        <v>L62</v>
      </c>
      <c r="D145" s="940"/>
      <c r="E145" s="1"/>
      <c r="F145" s="1"/>
      <c r="G145" s="1"/>
      <c r="H145" s="1"/>
      <c r="I145" s="342"/>
      <c r="J145" s="1"/>
      <c r="K145" s="1"/>
      <c r="L145" s="1"/>
      <c r="M145" s="341"/>
      <c r="N145" s="358"/>
    </row>
    <row r="146" spans="1:14" ht="15" customHeight="1">
      <c r="C146" s="15"/>
      <c r="D146" s="940"/>
      <c r="E146" s="1"/>
      <c r="F146" s="1"/>
      <c r="G146" s="1"/>
      <c r="H146" s="1"/>
      <c r="I146" s="342"/>
      <c r="J146" s="1"/>
      <c r="K146" s="1"/>
      <c r="L146" s="1"/>
      <c r="M146" s="341"/>
      <c r="N146" s="358"/>
    </row>
    <row r="147" spans="1:14" ht="18.95" customHeight="1">
      <c r="B147" s="12" t="s">
        <v>111</v>
      </c>
      <c r="C147" s="15"/>
      <c r="D147" s="940"/>
      <c r="E147" s="1"/>
      <c r="F147" s="1"/>
      <c r="G147" s="1"/>
      <c r="H147" s="1"/>
      <c r="I147" s="342"/>
      <c r="J147" s="1"/>
      <c r="K147" s="1"/>
      <c r="L147" s="1"/>
      <c r="M147" s="341"/>
      <c r="N147" s="358"/>
    </row>
    <row r="148" spans="1:14" ht="21.95" customHeight="1">
      <c r="A148" s="942" t="s">
        <v>4</v>
      </c>
      <c r="B148" s="8" t="s">
        <v>112</v>
      </c>
      <c r="C148" s="15" t="str">
        <f>MUNDIAL!I93</f>
        <v>W61</v>
      </c>
      <c r="D148" s="940"/>
      <c r="E148" s="1"/>
      <c r="F148" s="1"/>
      <c r="G148" s="1"/>
      <c r="H148" s="1"/>
      <c r="I148" s="342"/>
      <c r="J148" s="1"/>
      <c r="K148" s="1"/>
      <c r="L148" s="1"/>
      <c r="M148" s="341"/>
      <c r="N148" s="358"/>
    </row>
    <row r="149" spans="1:14" ht="15" customHeight="1">
      <c r="A149" s="942"/>
      <c r="B149" s="8" t="s">
        <v>112</v>
      </c>
      <c r="C149" s="15" t="str">
        <f>MUNDIAL!N93</f>
        <v>W62</v>
      </c>
      <c r="D149" s="940"/>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57" t="s">
        <v>233</v>
      </c>
      <c r="E151" s="944" t="s">
        <v>232</v>
      </c>
      <c r="F151" s="945"/>
      <c r="G151" s="945"/>
      <c r="H151" s="945"/>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58"/>
      <c r="E152" s="944"/>
      <c r="F152" s="945"/>
      <c r="G152" s="945"/>
      <c r="H152" s="945"/>
      <c r="I152" s="352"/>
      <c r="J152" s="1"/>
      <c r="K152" s="1"/>
      <c r="L152" s="1"/>
      <c r="M152" s="341"/>
      <c r="N152" s="358"/>
    </row>
    <row r="153" spans="1:14">
      <c r="C153" s="15"/>
      <c r="D153" s="958"/>
      <c r="E153" s="944"/>
      <c r="F153" s="945"/>
      <c r="G153" s="945"/>
      <c r="H153" s="945"/>
      <c r="I153" s="352"/>
      <c r="J153" s="1"/>
      <c r="K153" s="1"/>
      <c r="L153" s="1"/>
      <c r="M153" s="341"/>
      <c r="N153" s="358"/>
    </row>
    <row r="154" spans="1:14" ht="21" customHeight="1">
      <c r="B154" s="12" t="s">
        <v>113</v>
      </c>
      <c r="C154" s="15"/>
      <c r="D154" s="958"/>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W61-W62·0|-</v>
      </c>
      <c r="D155" s="958"/>
      <c r="E155" s="1"/>
      <c r="F155" s="1"/>
      <c r="G155" s="1"/>
      <c r="H155" s="370"/>
      <c r="I155" s="352"/>
      <c r="J155" s="1"/>
      <c r="K155" s="1"/>
      <c r="L155" s="1"/>
      <c r="M155" s="341"/>
      <c r="N155" s="358"/>
    </row>
    <row r="156" spans="1:14" ht="15" customHeight="1">
      <c r="B156" s="8"/>
      <c r="C156" s="15"/>
      <c r="D156" s="958"/>
      <c r="E156" s="1"/>
      <c r="F156" s="1"/>
      <c r="G156" s="1"/>
      <c r="H156" s="370"/>
      <c r="I156" s="352"/>
      <c r="J156" s="1"/>
      <c r="K156" s="1"/>
      <c r="L156" s="1"/>
      <c r="M156" s="341"/>
      <c r="N156" s="358"/>
    </row>
    <row r="157" spans="1:14" ht="18.95" customHeight="1">
      <c r="B157" s="12" t="s">
        <v>38</v>
      </c>
      <c r="C157" s="15"/>
      <c r="D157" s="958"/>
      <c r="E157" s="1"/>
      <c r="F157" s="1"/>
      <c r="G157" s="1"/>
      <c r="H157" s="370"/>
      <c r="I157" s="352"/>
      <c r="J157" s="1"/>
      <c r="K157" s="1"/>
      <c r="L157" s="1"/>
      <c r="M157" s="341"/>
      <c r="N157" s="358"/>
    </row>
    <row r="158" spans="1:14" ht="18.95" customHeight="1">
      <c r="A158" s="340"/>
      <c r="B158" s="8" t="str">
        <f>MUNDIAL!E97</f>
        <v>Campeón</v>
      </c>
      <c r="C158" s="15" t="str">
        <f>MUNDIAL!I97</f>
        <v>WF</v>
      </c>
      <c r="D158" s="958"/>
      <c r="E158" s="1"/>
      <c r="F158" s="1"/>
      <c r="G158" s="1"/>
      <c r="H158" s="370"/>
      <c r="I158" s="352"/>
      <c r="J158" s="1"/>
      <c r="K158" s="1"/>
      <c r="L158" s="1"/>
      <c r="M158" s="341"/>
      <c r="N158" s="358"/>
    </row>
    <row r="159" spans="1:14" ht="15.95" customHeight="1">
      <c r="A159" s="184"/>
      <c r="B159" s="8" t="str">
        <f>MUNDIAL!E98</f>
        <v>Subcampeón</v>
      </c>
      <c r="C159" s="15" t="str">
        <f>MUNDIAL!I98</f>
        <v>LF</v>
      </c>
      <c r="D159" s="958"/>
      <c r="E159" s="1"/>
      <c r="F159" s="1"/>
      <c r="G159" s="1"/>
      <c r="H159" s="370"/>
      <c r="I159" s="347"/>
      <c r="J159" s="354"/>
      <c r="K159" s="353"/>
      <c r="L159" s="353"/>
      <c r="M159" s="341"/>
      <c r="N159" s="358"/>
    </row>
    <row r="160" spans="1:14" ht="18.95" customHeight="1">
      <c r="A160" s="184"/>
      <c r="B160" s="8" t="str">
        <f>MUNDIAL!E99</f>
        <v>3º Clasificado</v>
      </c>
      <c r="C160" s="15" t="str">
        <f>MUNDIAL!I99</f>
        <v>W34</v>
      </c>
      <c r="D160" s="958"/>
      <c r="E160" s="345"/>
      <c r="F160" s="345"/>
      <c r="G160" s="345"/>
      <c r="H160" s="348"/>
      <c r="I160" s="347"/>
      <c r="J160" s="354"/>
      <c r="K160" s="353"/>
      <c r="L160" s="353"/>
      <c r="M160" s="356"/>
      <c r="N160" s="358"/>
    </row>
    <row r="161" spans="1:14" ht="20.100000000000001" customHeight="1">
      <c r="A161" s="340"/>
      <c r="B161" s="8" t="str">
        <f>MUNDIAL!E101</f>
        <v>Bota de Oro  (máximo goleador)</v>
      </c>
      <c r="C161" s="15" t="str">
        <f>MUNDIAL!I101</f>
        <v>Escribe un jugador</v>
      </c>
      <c r="D161" s="340"/>
      <c r="E161" s="955" t="s">
        <v>267</v>
      </c>
      <c r="F161" s="955"/>
      <c r="G161" s="955"/>
      <c r="H161" s="955"/>
      <c r="I161" s="349"/>
      <c r="J161" s="349"/>
      <c r="K161" s="349"/>
      <c r="L161" s="349"/>
      <c r="M161" s="355"/>
      <c r="N161" s="358"/>
    </row>
    <row r="162" spans="1:14" ht="18.75">
      <c r="A162" s="184"/>
      <c r="B162" s="8" t="str">
        <f>MUNDIAL!E102</f>
        <v>Bota de Plata (2º máximo goleador)</v>
      </c>
      <c r="C162" s="15" t="str">
        <f>MUNDIAL!I102</f>
        <v>Escribe un jugador</v>
      </c>
      <c r="D162" s="340"/>
      <c r="E162" s="956"/>
      <c r="F162" s="956"/>
      <c r="G162" s="956"/>
      <c r="H162" s="956"/>
      <c r="I162" s="349"/>
      <c r="J162" s="349"/>
      <c r="K162" s="349"/>
      <c r="L162" s="349"/>
      <c r="M162" s="355"/>
      <c r="N162" s="358"/>
    </row>
    <row r="163" spans="1:14" ht="18.75">
      <c r="A163" s="184"/>
      <c r="B163" s="8" t="str">
        <f>MUNDIAL!E103</f>
        <v>Bota de Bronce (3º máximo goleador)</v>
      </c>
      <c r="C163" s="15" t="str">
        <f>MUNDIAL!I103</f>
        <v>Escribe un jugador</v>
      </c>
      <c r="D163" s="340"/>
      <c r="E163" s="956"/>
      <c r="F163" s="956"/>
      <c r="G163" s="956"/>
      <c r="H163" s="956"/>
      <c r="I163" s="349"/>
      <c r="J163" s="349"/>
      <c r="K163" s="349"/>
      <c r="L163" s="349"/>
      <c r="M163" s="355"/>
      <c r="N163" s="358"/>
    </row>
    <row r="164" spans="1:14" ht="18.75">
      <c r="A164" s="340"/>
      <c r="B164" s="8" t="str">
        <f>MUNDIAL!E105</f>
        <v>Balón de Oro  (mejor jugador)</v>
      </c>
      <c r="C164" s="15" t="str">
        <f>MUNDIAL!I105</f>
        <v>Escribe un jugador</v>
      </c>
      <c r="D164" s="340"/>
      <c r="E164" s="956"/>
      <c r="F164" s="956"/>
      <c r="G164" s="956"/>
      <c r="H164" s="956"/>
      <c r="I164" s="349"/>
      <c r="J164" s="349"/>
      <c r="K164" s="349"/>
      <c r="L164" s="349"/>
      <c r="M164" s="355"/>
      <c r="N164" s="358"/>
    </row>
    <row r="165" spans="1:14" ht="18.75">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75">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5"/>
  <cols>
    <col min="1" max="1" width="2.28515625" customWidth="1"/>
    <col min="2" max="2" width="3.28515625" customWidth="1"/>
    <col min="3" max="6" width="3.85546875" customWidth="1"/>
    <col min="7" max="7" width="3.28515625" customWidth="1"/>
    <col min="8" max="12" width="3.85546875" customWidth="1"/>
    <col min="13" max="13" width="3.28515625" customWidth="1"/>
    <col min="14" max="14" width="4.28515625" customWidth="1"/>
    <col min="15" max="16" width="3.85546875" customWidth="1"/>
    <col min="17" max="17" width="3.28515625" customWidth="1"/>
    <col min="18" max="18" width="4.28515625" customWidth="1"/>
    <col min="19" max="20" width="3.85546875" customWidth="1"/>
    <col min="21" max="21" width="3.28515625" customWidth="1"/>
    <col min="22" max="22" width="4.28515625" customWidth="1"/>
    <col min="23" max="25" width="3.85546875" customWidth="1"/>
    <col min="26" max="26" width="4.28515625" customWidth="1"/>
    <col min="27" max="28" width="3.85546875" customWidth="1"/>
    <col min="29" max="29" width="3.28515625" customWidth="1"/>
    <col min="30" max="32" width="3.85546875" customWidth="1"/>
    <col min="33" max="33" width="3.28515625" customWidth="1"/>
    <col min="34" max="34" width="4.28515625" customWidth="1"/>
    <col min="35" max="36" width="3.85546875" customWidth="1"/>
    <col min="37" max="37" width="3.28515625" customWidth="1"/>
    <col min="38" max="38" width="4.28515625" customWidth="1"/>
    <col min="39" max="40" width="3.85546875" customWidth="1"/>
    <col min="41" max="42" width="3.28515625" customWidth="1"/>
    <col min="43" max="46" width="3.85546875" customWidth="1"/>
    <col min="47" max="47" width="3.28515625" customWidth="1"/>
    <col min="48" max="67" width="3.85546875" customWidth="1"/>
  </cols>
  <sheetData>
    <row r="1" spans="1:53" ht="8.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0</v>
      </c>
      <c r="E3" s="501">
        <f>MUNDIAL!L4</f>
        <v>2</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1</v>
      </c>
      <c r="AS3" s="605">
        <f>MUNDIAL!L36</f>
        <v>2</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0</v>
      </c>
      <c r="E4" s="497">
        <f>MUNDIAL!L5</f>
        <v>2</v>
      </c>
      <c r="F4" s="498" t="str">
        <f ca="1">MID(MUNDIAL!N5,1,3)</f>
        <v>Ecu</v>
      </c>
      <c r="G4" s="1">
        <v>1</v>
      </c>
      <c r="H4" s="733" t="str">
        <f ca="1">MID(MUNDIAL!R6,1,3)</f>
        <v>Pai</v>
      </c>
      <c r="I4" s="793">
        <f ca="1">MUNDIAL!S6</f>
        <v>7</v>
      </c>
      <c r="J4" s="499">
        <f ca="1">MUNDIAL!T6</f>
        <v>3</v>
      </c>
      <c r="K4" s="499">
        <f ca="1">MUNDIAL!Z6</f>
        <v>4</v>
      </c>
      <c r="L4" s="504">
        <f ca="1">MUNDIAL!X6</f>
        <v>5</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7</v>
      </c>
      <c r="AS4" s="610">
        <f>MUNDIAL!L37</f>
        <v>0</v>
      </c>
      <c r="AT4" s="611" t="str">
        <f ca="1">MID(MUNDIAL!N37,1,3)</f>
        <v>Cos</v>
      </c>
      <c r="AU4" s="718">
        <v>1</v>
      </c>
      <c r="AV4" s="739" t="str">
        <f ca="1">MID(MUNDIAL!R38,1,3)</f>
        <v>Jap</v>
      </c>
      <c r="AW4" s="799">
        <f ca="1">MUNDIAL!S38</f>
        <v>6</v>
      </c>
      <c r="AX4" s="612">
        <f ca="1">MUNDIAL!T38</f>
        <v>3</v>
      </c>
      <c r="AY4" s="612">
        <f ca="1">MUNDIAL!Z38</f>
        <v>1</v>
      </c>
      <c r="AZ4" s="613">
        <f ca="1">MUNDIAL!X38</f>
        <v>4</v>
      </c>
      <c r="BA4" s="1"/>
    </row>
    <row r="5" spans="1:53">
      <c r="A5" s="1"/>
      <c r="B5" s="573"/>
      <c r="C5" s="503" t="str">
        <f ca="1">MID(MUNDIAL!I6,1,3)</f>
        <v>Cat</v>
      </c>
      <c r="D5" s="497">
        <f>MUNDIAL!K6</f>
        <v>1</v>
      </c>
      <c r="E5" s="497">
        <f>MUNDIAL!L6</f>
        <v>3</v>
      </c>
      <c r="F5" s="498" t="str">
        <f ca="1">MID(MUNDIAL!N6,1,3)</f>
        <v>Sen</v>
      </c>
      <c r="G5" s="1">
        <v>2</v>
      </c>
      <c r="H5" s="733" t="str">
        <f ca="1">MID(MUNDIAL!R7,1,3)</f>
        <v>Sen</v>
      </c>
      <c r="I5" s="793">
        <f ca="1">MUNDIAL!S7</f>
        <v>6</v>
      </c>
      <c r="J5" s="499">
        <f ca="1">MUNDIAL!T7</f>
        <v>3</v>
      </c>
      <c r="K5" s="499">
        <f ca="1">MUNDIAL!Z7</f>
        <v>1</v>
      </c>
      <c r="L5" s="504">
        <f ca="1">MUNDIAL!X7</f>
        <v>5</v>
      </c>
      <c r="M5" s="1"/>
      <c r="N5" s="748" t="str">
        <f ca="1">MID(MUNDIAL!I69,1,3)</f>
        <v>Pai</v>
      </c>
      <c r="O5" s="749">
        <f>IF(ISBLANK(MUNDIAL!K69),"",(MUNDIAL!K69))</f>
        <v>3</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f>IF(ISBLANK(MUNDIAL!K72),"",(MUNDIAL!K72))</f>
        <v>3</v>
      </c>
      <c r="AN5" s="748" t="str">
        <f ca="1">MID(MUNDIAL!I72,1,3)</f>
        <v>Ing</v>
      </c>
      <c r="AO5" s="1"/>
      <c r="AP5" s="599"/>
      <c r="AQ5" s="617" t="str">
        <f ca="1">MID(MUNDIAL!I38,1,3)</f>
        <v>Jap</v>
      </c>
      <c r="AR5" s="614">
        <f>MUNDIAL!K38</f>
        <v>0</v>
      </c>
      <c r="AS5" s="614">
        <f>MUNDIAL!L38</f>
        <v>1</v>
      </c>
      <c r="AT5" s="615" t="str">
        <f ca="1">MID(MUNDIAL!N38,1,3)</f>
        <v>Cos</v>
      </c>
      <c r="AU5" s="718">
        <v>2</v>
      </c>
      <c r="AV5" s="740" t="str">
        <f ca="1">MID(MUNDIAL!R39,1,3)</f>
        <v>Esp</v>
      </c>
      <c r="AW5" s="800">
        <f ca="1">MUNDIAL!S39</f>
        <v>4</v>
      </c>
      <c r="AX5" s="612">
        <f ca="1">MUNDIAL!T39</f>
        <v>3</v>
      </c>
      <c r="AY5" s="616">
        <f ca="1">MUNDIAL!Z39</f>
        <v>6</v>
      </c>
      <c r="AZ5" s="618">
        <f ca="1">MUNDIAL!X39</f>
        <v>9</v>
      </c>
      <c r="BA5" s="1"/>
    </row>
    <row r="6" spans="1:53">
      <c r="A6" s="1"/>
      <c r="B6" s="573"/>
      <c r="C6" s="503" t="str">
        <f ca="1">MID(MUNDIAL!I7,1,3)</f>
        <v>Pai</v>
      </c>
      <c r="D6" s="497">
        <f>MUNDIAL!K7</f>
        <v>1</v>
      </c>
      <c r="E6" s="497">
        <f>MUNDIAL!L7</f>
        <v>1</v>
      </c>
      <c r="F6" s="498" t="str">
        <f ca="1">MID(MUNDIAL!N7,1,3)</f>
        <v>Ecu</v>
      </c>
      <c r="G6" s="1">
        <v>3</v>
      </c>
      <c r="H6" s="733" t="str">
        <f ca="1">MID(MUNDIAL!R8,1,3)</f>
        <v>Ecu</v>
      </c>
      <c r="I6" s="793">
        <f ca="1">MUNDIAL!S8</f>
        <v>4</v>
      </c>
      <c r="J6" s="499">
        <f ca="1">MUNDIAL!T8</f>
        <v>3</v>
      </c>
      <c r="K6" s="499">
        <f ca="1">MUNDIAL!Z8</f>
        <v>1</v>
      </c>
      <c r="L6" s="504">
        <f ca="1">MUNDIAL!X8</f>
        <v>4</v>
      </c>
      <c r="M6" s="1"/>
      <c r="N6" s="748" t="str">
        <f ca="1">MID(MUNDIAL!N69,1,3)</f>
        <v>Est</v>
      </c>
      <c r="O6" s="749">
        <f>IF(ISBLANK(MUNDIAL!L69),"",(MUNDIAL!L69))</f>
        <v>1</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f>IF(ISBLANK(MUNDIAL!L72),"",(MUNDIAL!L72))</f>
        <v>0</v>
      </c>
      <c r="AN6" s="748" t="str">
        <f ca="1">MID(MUNDIAL!N72,1,3)</f>
        <v>Sen</v>
      </c>
      <c r="AO6" s="1"/>
      <c r="AP6" s="599"/>
      <c r="AQ6" s="619" t="str">
        <f ca="1">MID(MUNDIAL!I39,1,3)</f>
        <v>Esp</v>
      </c>
      <c r="AR6" s="610">
        <f>MUNDIAL!K39</f>
        <v>1</v>
      </c>
      <c r="AS6" s="610">
        <f>MUNDIAL!L39</f>
        <v>1</v>
      </c>
      <c r="AT6" s="611" t="str">
        <f ca="1">MID(MUNDIAL!N39,1,3)</f>
        <v>Ale</v>
      </c>
      <c r="AU6" s="718">
        <v>3</v>
      </c>
      <c r="AV6" s="739" t="str">
        <f ca="1">MID(MUNDIAL!R40,1,3)</f>
        <v>Ale</v>
      </c>
      <c r="AW6" s="799">
        <f ca="1">MUNDIAL!S40</f>
        <v>4</v>
      </c>
      <c r="AX6" s="612">
        <f ca="1">MUNDIAL!T40</f>
        <v>3</v>
      </c>
      <c r="AY6" s="612">
        <f ca="1">MUNDIAL!Z40</f>
        <v>1</v>
      </c>
      <c r="AZ6" s="613">
        <f ca="1">MUNDIAL!X40</f>
        <v>6</v>
      </c>
      <c r="BA6" s="1"/>
    </row>
    <row r="7" spans="1:53">
      <c r="A7" s="1"/>
      <c r="B7" s="573"/>
      <c r="C7" s="503" t="str">
        <f ca="1">MID(MUNDIAL!I8,1,3)</f>
        <v>Ecu</v>
      </c>
      <c r="D7" s="497">
        <f>MUNDIAL!K8</f>
        <v>1</v>
      </c>
      <c r="E7" s="497">
        <f>MUNDIAL!L8</f>
        <v>2</v>
      </c>
      <c r="F7" s="498" t="str">
        <f ca="1">MID(MUNDIAL!N8,1,3)</f>
        <v>Sen</v>
      </c>
      <c r="G7" s="1">
        <v>4</v>
      </c>
      <c r="H7" s="733" t="str">
        <f ca="1">MID(MUNDIAL!R9,1,3)</f>
        <v>Cat</v>
      </c>
      <c r="I7" s="793">
        <f ca="1">MUNDIAL!S9</f>
        <v>0</v>
      </c>
      <c r="J7" s="499">
        <f ca="1">MUNDIAL!T9</f>
        <v>3</v>
      </c>
      <c r="K7" s="499">
        <f ca="1">MUNDIAL!Z9</f>
        <v>-6</v>
      </c>
      <c r="L7" s="504">
        <f ca="1">MUNDIAL!X9</f>
        <v>1</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2</v>
      </c>
      <c r="AS7" s="610">
        <f>MUNDIAL!L40</f>
        <v>1</v>
      </c>
      <c r="AT7" s="611" t="str">
        <f ca="1">MID(MUNDIAL!N40,1,3)</f>
        <v>Esp</v>
      </c>
      <c r="AU7" s="718">
        <v>4</v>
      </c>
      <c r="AV7" s="739" t="str">
        <f ca="1">MID(MUNDIAL!R41,1,3)</f>
        <v>Cos</v>
      </c>
      <c r="AW7" s="801">
        <f ca="1">MUNDIAL!S41</f>
        <v>3</v>
      </c>
      <c r="AX7" s="612">
        <f ca="1">MUNDIAL!T41</f>
        <v>3</v>
      </c>
      <c r="AY7" s="602">
        <f ca="1">MUNDIAL!Z41</f>
        <v>-8</v>
      </c>
      <c r="AZ7" s="603">
        <f ca="1">MUNDIAL!X41</f>
        <v>3</v>
      </c>
      <c r="BA7" s="1"/>
    </row>
    <row r="8" spans="1:53" ht="15.75" thickBot="1">
      <c r="A8" s="1"/>
      <c r="B8" s="574"/>
      <c r="C8" s="505" t="str">
        <f ca="1">MID(MUNDIAL!I9,1,3)</f>
        <v>Pai</v>
      </c>
      <c r="D8" s="506">
        <f>MUNDIAL!K9</f>
        <v>2</v>
      </c>
      <c r="E8" s="506">
        <f>MUNDIAL!L9</f>
        <v>0</v>
      </c>
      <c r="F8" s="507" t="str">
        <f ca="1">MID(MUNDIAL!N9,1,3)</f>
        <v>Cat</v>
      </c>
      <c r="G8" s="508"/>
      <c r="H8" s="571"/>
      <c r="I8" s="570"/>
      <c r="J8" s="570"/>
      <c r="K8" s="570"/>
      <c r="L8" s="572"/>
      <c r="M8" s="1"/>
      <c r="N8" s="752"/>
      <c r="O8" s="752"/>
      <c r="P8" s="753"/>
      <c r="Q8" s="728"/>
      <c r="R8" s="763" t="str">
        <f ca="1">MID(MUNDIAL!I81,1,3)</f>
        <v>Pai</v>
      </c>
      <c r="S8" s="762">
        <f>IF(ISBLANK(MUNDIAL!K81),"",(MUNDIAL!K81))</f>
        <v>1</v>
      </c>
      <c r="T8" s="766" t="str">
        <f>IF(ISBLANK(MUNDIAL!J81),"","("&amp;(MUNDIAL!J81)&amp;")")</f>
        <v/>
      </c>
      <c r="U8" s="492"/>
      <c r="V8" s="773"/>
      <c r="W8" s="773"/>
      <c r="X8" s="773"/>
      <c r="Y8" s="492"/>
      <c r="Z8" s="785"/>
      <c r="AA8" s="785"/>
      <c r="AB8" s="785"/>
      <c r="AC8" s="492"/>
      <c r="AD8" s="773"/>
      <c r="AE8" s="773"/>
      <c r="AF8" s="773"/>
      <c r="AG8" s="492"/>
      <c r="AH8" s="761" t="str">
        <f>IF(ISBLANK(MUNDIAL!J83),"","("&amp;(MUNDIAL!J83)&amp;")")</f>
        <v>(3)</v>
      </c>
      <c r="AI8" s="762">
        <f>IF(ISBLANK(MUNDIAL!K83),"",(MUNDIAL!K83))</f>
        <v>2</v>
      </c>
      <c r="AJ8" s="763" t="str">
        <f ca="1">MID(MUNDIAL!I83,1,3)</f>
        <v>Ing</v>
      </c>
      <c r="AK8" s="729"/>
      <c r="AL8" s="752"/>
      <c r="AM8" s="752"/>
      <c r="AN8" s="752"/>
      <c r="AO8" s="1"/>
      <c r="AP8" s="600"/>
      <c r="AQ8" s="620" t="str">
        <f ca="1">MID(MUNDIAL!I41,1,3)</f>
        <v>Cos</v>
      </c>
      <c r="AR8" s="621">
        <f>MUNDIAL!K41</f>
        <v>2</v>
      </c>
      <c r="AS8" s="621">
        <f>MUNDIAL!L41</f>
        <v>4</v>
      </c>
      <c r="AT8" s="622" t="str">
        <f ca="1">MID(MUNDIAL!N41,1,3)</f>
        <v>Ale</v>
      </c>
      <c r="AU8" s="708"/>
      <c r="AV8" s="596"/>
      <c r="AW8" s="595"/>
      <c r="AX8" s="595"/>
      <c r="AY8" s="595"/>
      <c r="AZ8" s="597"/>
      <c r="BA8" s="1"/>
    </row>
    <row r="9" spans="1:53" ht="15.75" thickBot="1">
      <c r="A9" s="1"/>
      <c r="B9" s="575"/>
      <c r="C9" s="496"/>
      <c r="D9" s="2"/>
      <c r="E9" s="2"/>
      <c r="F9" s="1"/>
      <c r="G9" s="1"/>
      <c r="H9" s="496"/>
      <c r="I9" s="1"/>
      <c r="J9" s="1"/>
      <c r="K9" s="1"/>
      <c r="L9" s="1"/>
      <c r="M9" s="1"/>
      <c r="N9" s="752"/>
      <c r="O9" s="752"/>
      <c r="P9" s="753"/>
      <c r="Q9" s="492"/>
      <c r="R9" s="763" t="str">
        <f ca="1">MID(MUNDIAL!N81,1,3)</f>
        <v>Arg</v>
      </c>
      <c r="S9" s="762">
        <f>IF(ISBLANK(MUNDIAL!L81),"",(MUNDIAL!L81))</f>
        <v>2</v>
      </c>
      <c r="T9" s="767" t="str">
        <f>IF(ISBLANK(MUNDIAL!M81),"","("&amp;(MUNDIAL!M81)&amp;")")</f>
        <v/>
      </c>
      <c r="U9" s="492"/>
      <c r="V9" s="773"/>
      <c r="W9" s="773"/>
      <c r="X9" s="773"/>
      <c r="Y9" s="492"/>
      <c r="Z9" s="785" t="s">
        <v>313</v>
      </c>
      <c r="AA9" s="784"/>
      <c r="AB9" s="785"/>
      <c r="AC9" s="492"/>
      <c r="AD9" s="773"/>
      <c r="AE9" s="773"/>
      <c r="AF9" s="773"/>
      <c r="AG9" s="725"/>
      <c r="AH9" s="764" t="str">
        <f>IF(ISBLANK(MUNDIAL!M83),"","("&amp;(MUNDIAL!M83)&amp;")")</f>
        <v>(2)</v>
      </c>
      <c r="AI9" s="762">
        <f>IF(ISBLANK(MUNDIAL!L83),"",(MUNDIAL!L83))</f>
        <v>2</v>
      </c>
      <c r="AJ9" s="763" t="str">
        <f ca="1">MID(MUNDIAL!N83,1,3)</f>
        <v>Fra</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6</v>
      </c>
      <c r="E10" s="559">
        <f>MUNDIAL!L12</f>
        <v>2</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0</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1</v>
      </c>
      <c r="E11" s="560">
        <f>MUNDIAL!L13</f>
        <v>1</v>
      </c>
      <c r="F11" s="552" t="str">
        <f ca="1">MID(MUNDIAL!N13,1,3)</f>
        <v>Gal</v>
      </c>
      <c r="G11" s="1">
        <v>1</v>
      </c>
      <c r="H11" s="734" t="str">
        <f ca="1">MID(MUNDIAL!R14,1,3)</f>
        <v>Ing</v>
      </c>
      <c r="I11" s="794">
        <f ca="1">MUNDIAL!S14</f>
        <v>7</v>
      </c>
      <c r="J11" s="555">
        <f ca="1">MUNDIAL!T14</f>
        <v>3</v>
      </c>
      <c r="K11" s="555">
        <f ca="1">MUNDIAL!Z14</f>
        <v>7</v>
      </c>
      <c r="L11" s="556">
        <f ca="1">MUNDIAL!X14</f>
        <v>9</v>
      </c>
      <c r="M11" s="1"/>
      <c r="N11" s="748" t="str">
        <f ca="1">MID(MUNDIAL!I70,1,3)</f>
        <v>Arg</v>
      </c>
      <c r="O11" s="749">
        <f>IF(ISBLANK(MUNDIAL!K70),"",(MUNDIAL!K70))</f>
        <v>2</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f>IF(ISBLANK(MUNDIAL!K71),"",(MUNDIAL!K71))</f>
        <v>3</v>
      </c>
      <c r="AN11" s="748" t="str">
        <f ca="1">MID(MUNDIAL!I71,1,3)</f>
        <v>Fra</v>
      </c>
      <c r="AO11" s="1"/>
      <c r="AP11" s="654"/>
      <c r="AQ11" s="637" t="str">
        <f ca="1">MID(MUNDIAL!I45,1,3)</f>
        <v>Bél</v>
      </c>
      <c r="AR11" s="625">
        <f>MUNDIAL!K45</f>
        <v>1</v>
      </c>
      <c r="AS11" s="625">
        <f>MUNDIAL!L45</f>
        <v>0</v>
      </c>
      <c r="AT11" s="623" t="str">
        <f ca="1">MID(MUNDIAL!N45,1,3)</f>
        <v>Can</v>
      </c>
      <c r="AU11" s="710">
        <v>1</v>
      </c>
      <c r="AV11" s="741" t="str">
        <f ca="1">MID(MUNDIAL!R46,1,3)</f>
        <v>Mar</v>
      </c>
      <c r="AW11" s="802">
        <f ca="1">MUNDIAL!S46</f>
        <v>7</v>
      </c>
      <c r="AX11" s="808">
        <f ca="1">MUNDIAL!T46</f>
        <v>3</v>
      </c>
      <c r="AY11" s="629">
        <f ca="1">MUNDIAL!Z46</f>
        <v>3</v>
      </c>
      <c r="AZ11" s="638">
        <f ca="1">MUNDIAL!X46</f>
        <v>4</v>
      </c>
      <c r="BA11" s="1"/>
    </row>
    <row r="12" spans="1:53">
      <c r="A12" s="1"/>
      <c r="B12" s="509"/>
      <c r="C12" s="548" t="str">
        <f ca="1">MID(MUNDIAL!I14,1,3)</f>
        <v>Gal</v>
      </c>
      <c r="D12" s="564">
        <f>MUNDIAL!K14</f>
        <v>0</v>
      </c>
      <c r="E12" s="560">
        <f>MUNDIAL!L14</f>
        <v>2</v>
      </c>
      <c r="F12" s="552" t="str">
        <f ca="1">MID(MUNDIAL!N14,1,3)</f>
        <v>Irá</v>
      </c>
      <c r="G12" s="1">
        <v>2</v>
      </c>
      <c r="H12" s="734" t="str">
        <f ca="1">MID(MUNDIAL!R15,1,3)</f>
        <v>Est</v>
      </c>
      <c r="I12" s="794">
        <f ca="1">MUNDIAL!S15</f>
        <v>5</v>
      </c>
      <c r="J12" s="555">
        <f ca="1">MUNDIAL!T15</f>
        <v>3</v>
      </c>
      <c r="K12" s="555">
        <f ca="1">MUNDIAL!Z15</f>
        <v>1</v>
      </c>
      <c r="L12" s="556">
        <f ca="1">MUNDIAL!X15</f>
        <v>2</v>
      </c>
      <c r="M12" s="1"/>
      <c r="N12" s="748" t="str">
        <f ca="1">MID(MUNDIAL!N70,1,3)</f>
        <v>Aus</v>
      </c>
      <c r="O12" s="749">
        <f>IF(ISBLANK(MUNDIAL!L70),"",(MUNDIAL!L70))</f>
        <v>1</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f>IF(ISBLANK(MUNDIAL!L71),"",(MUNDIAL!L71))</f>
        <v>1</v>
      </c>
      <c r="AN12" s="748" t="str">
        <f ca="1">MID(MUNDIAL!N71,1,3)</f>
        <v>Pol</v>
      </c>
      <c r="AO12" s="1"/>
      <c r="AP12" s="654"/>
      <c r="AQ12" s="639" t="str">
        <f ca="1">MID(MUNDIAL!I46,1,3)</f>
        <v>Bél</v>
      </c>
      <c r="AR12" s="627">
        <f>MUNDIAL!K46</f>
        <v>0</v>
      </c>
      <c r="AS12" s="625">
        <f>MUNDIAL!L46</f>
        <v>2</v>
      </c>
      <c r="AT12" s="623" t="str">
        <f ca="1">MID(MUNDIAL!N46,1,3)</f>
        <v>Mar</v>
      </c>
      <c r="AU12" s="710">
        <v>2</v>
      </c>
      <c r="AV12" s="742" t="str">
        <f ca="1">MID(MUNDIAL!R47,1,3)</f>
        <v>Cro</v>
      </c>
      <c r="AW12" s="803">
        <f ca="1">MUNDIAL!S47</f>
        <v>5</v>
      </c>
      <c r="AX12" s="808">
        <f ca="1">MUNDIAL!T47</f>
        <v>3</v>
      </c>
      <c r="AY12" s="630">
        <f ca="1">MUNDIAL!Z47</f>
        <v>3</v>
      </c>
      <c r="AZ12" s="640">
        <f ca="1">MUNDIAL!X47</f>
        <v>4</v>
      </c>
      <c r="BA12" s="1"/>
    </row>
    <row r="13" spans="1:53">
      <c r="A13" s="1"/>
      <c r="B13" s="509"/>
      <c r="C13" s="549" t="str">
        <f ca="1">MID(MUNDIAL!I15,1,3)</f>
        <v>Ing</v>
      </c>
      <c r="D13" s="565">
        <f>MUNDIAL!K15</f>
        <v>0</v>
      </c>
      <c r="E13" s="561">
        <f>MUNDIAL!L15</f>
        <v>0</v>
      </c>
      <c r="F13" s="553" t="str">
        <f ca="1">MID(MUNDIAL!N15,1,3)</f>
        <v>Est</v>
      </c>
      <c r="G13" s="1">
        <v>3</v>
      </c>
      <c r="H13" s="734" t="str">
        <f ca="1">MID(MUNDIAL!R16,1,3)</f>
        <v>Irá</v>
      </c>
      <c r="I13" s="794">
        <f ca="1">MUNDIAL!S16</f>
        <v>3</v>
      </c>
      <c r="J13" s="555">
        <f ca="1">MUNDIAL!T16</f>
        <v>3</v>
      </c>
      <c r="K13" s="555">
        <f ca="1">MUNDIAL!Z16</f>
        <v>-3</v>
      </c>
      <c r="L13" s="556">
        <f ca="1">MUNDIAL!X16</f>
        <v>4</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4</v>
      </c>
      <c r="AS13" s="625">
        <f>MUNDIAL!L47</f>
        <v>1</v>
      </c>
      <c r="AT13" s="623" t="str">
        <f ca="1">MID(MUNDIAL!N47,1,3)</f>
        <v>Can</v>
      </c>
      <c r="AU13" s="710">
        <v>3</v>
      </c>
      <c r="AV13" s="742" t="str">
        <f ca="1">MID(MUNDIAL!R48,1,3)</f>
        <v>Bél</v>
      </c>
      <c r="AW13" s="803">
        <f ca="1">MUNDIAL!S48</f>
        <v>4</v>
      </c>
      <c r="AX13" s="808">
        <f ca="1">MUNDIAL!T48</f>
        <v>3</v>
      </c>
      <c r="AY13" s="630">
        <f ca="1">MUNDIAL!Z48</f>
        <v>-1</v>
      </c>
      <c r="AZ13" s="640">
        <f ca="1">MUNDIAL!X48</f>
        <v>1</v>
      </c>
      <c r="BA13" s="1"/>
    </row>
    <row r="14" spans="1:53">
      <c r="A14" s="1"/>
      <c r="B14" s="509"/>
      <c r="C14" s="549" t="str">
        <f ca="1">MID(MUNDIAL!I16,1,3)</f>
        <v>Gal</v>
      </c>
      <c r="D14" s="565">
        <f>MUNDIAL!K16</f>
        <v>0</v>
      </c>
      <c r="E14" s="561">
        <f>MUNDIAL!L16</f>
        <v>3</v>
      </c>
      <c r="F14" s="553" t="str">
        <f ca="1">MID(MUNDIAL!N16,1,3)</f>
        <v>Ing</v>
      </c>
      <c r="G14" s="1">
        <v>4</v>
      </c>
      <c r="H14" s="735" t="str">
        <f ca="1">MID(MUNDIAL!R17,1,3)</f>
        <v>Gal</v>
      </c>
      <c r="I14" s="795">
        <f ca="1">MUNDIAL!S17</f>
        <v>1</v>
      </c>
      <c r="J14" s="555">
        <f ca="1">MUNDIAL!T17</f>
        <v>3</v>
      </c>
      <c r="K14" s="557">
        <f ca="1">MUNDIAL!Z17</f>
        <v>-5</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0</v>
      </c>
      <c r="AS14" s="626">
        <f>MUNDIAL!L48</f>
        <v>0</v>
      </c>
      <c r="AT14" s="624" t="str">
        <f ca="1">MID(MUNDIAL!N48,1,3)</f>
        <v>Bél</v>
      </c>
      <c r="AU14" s="710">
        <v>4</v>
      </c>
      <c r="AV14" s="741" t="str">
        <f ca="1">MID(MUNDIAL!R49,1,3)</f>
        <v>Can</v>
      </c>
      <c r="AW14" s="802">
        <f ca="1">MUNDIAL!S49</f>
        <v>0</v>
      </c>
      <c r="AX14" s="808">
        <f ca="1">MUNDIAL!T49</f>
        <v>3</v>
      </c>
      <c r="AY14" s="629">
        <f ca="1">MUNDIAL!Z49</f>
        <v>-5</v>
      </c>
      <c r="AZ14" s="638">
        <f ca="1">MUNDIAL!X49</f>
        <v>2</v>
      </c>
      <c r="BA14" s="1"/>
    </row>
    <row r="15" spans="1:53" ht="15.75" thickBot="1">
      <c r="A15" s="1"/>
      <c r="B15" s="576"/>
      <c r="C15" s="550" t="str">
        <f ca="1">MID(MUNDIAL!I17,1,3)</f>
        <v>Irá</v>
      </c>
      <c r="D15" s="566">
        <f>MUNDIAL!K17</f>
        <v>0</v>
      </c>
      <c r="E15" s="562">
        <f>MUNDIAL!L17</f>
        <v>1</v>
      </c>
      <c r="F15" s="554" t="str">
        <f ca="1">MID(MUNDIAL!N17,1,3)</f>
        <v>Est</v>
      </c>
      <c r="G15" s="702"/>
      <c r="H15" s="578"/>
      <c r="I15" s="577"/>
      <c r="J15" s="577"/>
      <c r="K15" s="577"/>
      <c r="L15" s="579"/>
      <c r="M15" s="1"/>
      <c r="N15" s="752"/>
      <c r="O15" s="752"/>
      <c r="P15" s="752"/>
      <c r="Q15" s="492"/>
      <c r="R15" s="759"/>
      <c r="S15" s="759"/>
      <c r="T15" s="768"/>
      <c r="U15" s="724"/>
      <c r="V15" s="775" t="str">
        <f ca="1">MID(MUNDIAL!I86,1,3)</f>
        <v>Arg</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 ca="1">MID(MUNDIAL!I87,1,3)</f>
        <v>Ing</v>
      </c>
      <c r="AG15" s="729"/>
      <c r="AH15" s="759"/>
      <c r="AI15" s="759"/>
      <c r="AJ15" s="759"/>
      <c r="AK15" s="492"/>
      <c r="AL15" s="752"/>
      <c r="AM15" s="752"/>
      <c r="AN15" s="752"/>
      <c r="AO15" s="1"/>
      <c r="AP15" s="655"/>
      <c r="AQ15" s="642" t="str">
        <f ca="1">MID(MUNDIAL!I49,1,3)</f>
        <v>Can</v>
      </c>
      <c r="AR15" s="643">
        <f>MUNDIAL!K49</f>
        <v>1</v>
      </c>
      <c r="AS15" s="644">
        <f>MUNDIAL!L49</f>
        <v>2</v>
      </c>
      <c r="AT15" s="645" t="str">
        <f ca="1">MID(MUNDIAL!N49,1,3)</f>
        <v>Mar</v>
      </c>
      <c r="AU15" s="711"/>
      <c r="AV15" s="651"/>
      <c r="AW15" s="650"/>
      <c r="AX15" s="650"/>
      <c r="AY15" s="650"/>
      <c r="AZ15" s="652"/>
      <c r="BA15" s="1"/>
    </row>
    <row r="16" spans="1:53" ht="15.75" thickBot="1">
      <c r="A16" s="1"/>
      <c r="B16" s="489"/>
      <c r="C16" s="496"/>
      <c r="D16" s="494"/>
      <c r="E16" s="494"/>
      <c r="F16" s="489"/>
      <c r="G16" s="1"/>
      <c r="H16" s="496"/>
      <c r="I16" s="1"/>
      <c r="J16" s="1"/>
      <c r="K16" s="1"/>
      <c r="L16" s="1"/>
      <c r="M16" s="1"/>
      <c r="N16" s="752"/>
      <c r="O16" s="752"/>
      <c r="P16" s="752"/>
      <c r="Q16" s="492"/>
      <c r="R16" s="759"/>
      <c r="S16" s="759"/>
      <c r="T16" s="768"/>
      <c r="U16" s="727"/>
      <c r="V16" s="775" t="str">
        <f ca="1">MID(MUNDIAL!N86,1,3)</f>
        <v>Bra</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 ca="1">MID(MUNDIAL!N87,1,3)</f>
        <v>Por</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1</v>
      </c>
      <c r="E17" s="537">
        <f>MUNDIAL!L20</f>
        <v>2</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1</v>
      </c>
      <c r="AS17" s="678">
        <f>MUNDIAL!L52</f>
        <v>0</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0</v>
      </c>
      <c r="E18" s="544">
        <f>MUNDIAL!L21</f>
        <v>0</v>
      </c>
      <c r="F18" s="545" t="str">
        <f ca="1">MID(MUNDIAL!N21,1,3)</f>
        <v>Pol</v>
      </c>
      <c r="G18" s="704">
        <v>1</v>
      </c>
      <c r="H18" s="736" t="str">
        <f ca="1">MID(MUNDIAL!R22,1,3)</f>
        <v>Arg</v>
      </c>
      <c r="I18" s="796">
        <f ca="1">MUNDIAL!S22</f>
        <v>6</v>
      </c>
      <c r="J18" s="535">
        <f ca="1">MUNDIAL!T22</f>
        <v>3</v>
      </c>
      <c r="K18" s="535">
        <f ca="1">MUNDIAL!Z22</f>
        <v>3</v>
      </c>
      <c r="L18" s="532">
        <f ca="1">MUNDIAL!X22</f>
        <v>5</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2</v>
      </c>
      <c r="AS18" s="675">
        <f>MUNDIAL!L53</f>
        <v>0</v>
      </c>
      <c r="AT18" s="676" t="str">
        <f ca="1">MID(MUNDIAL!N53,1,3)</f>
        <v>Ser</v>
      </c>
      <c r="AU18" s="1">
        <v>1</v>
      </c>
      <c r="AV18" s="743" t="str">
        <f ca="1">MID(MUNDIAL!R54,1,3)</f>
        <v>Bra</v>
      </c>
      <c r="AW18" s="804">
        <f ca="1">MUNDIAL!S54</f>
        <v>6</v>
      </c>
      <c r="AX18" s="809">
        <f ca="1">MUNDIAL!T54</f>
        <v>3</v>
      </c>
      <c r="AY18" s="667">
        <f ca="1">MUNDIAL!Z54</f>
        <v>2</v>
      </c>
      <c r="AZ18" s="668">
        <f ca="1">MUNDIAL!X54</f>
        <v>3</v>
      </c>
      <c r="BA18" s="1"/>
    </row>
    <row r="19" spans="1:53">
      <c r="A19" s="1"/>
      <c r="B19" s="519"/>
      <c r="C19" s="530" t="str">
        <f ca="1">MID(MUNDIAL!I22,1,3)</f>
        <v>Pol</v>
      </c>
      <c r="D19" s="541">
        <f>MUNDIAL!K22</f>
        <v>2</v>
      </c>
      <c r="E19" s="538">
        <f>MUNDIAL!L22</f>
        <v>0</v>
      </c>
      <c r="F19" s="536" t="str">
        <f ca="1">MID(MUNDIAL!N22,1,3)</f>
        <v>Ara</v>
      </c>
      <c r="G19" s="704">
        <v>2</v>
      </c>
      <c r="H19" s="737" t="str">
        <f ca="1">MID(MUNDIAL!R23,1,3)</f>
        <v>Pol</v>
      </c>
      <c r="I19" s="797">
        <f ca="1">MUNDIAL!S23</f>
        <v>4</v>
      </c>
      <c r="J19" s="535">
        <f ca="1">MUNDIAL!T23</f>
        <v>3</v>
      </c>
      <c r="K19" s="533">
        <f ca="1">MUNDIAL!Z23</f>
        <v>0</v>
      </c>
      <c r="L19" s="532">
        <f ca="1">MUNDIAL!X23</f>
        <v>2</v>
      </c>
      <c r="M19" s="1"/>
      <c r="N19" s="748" t="str">
        <f ca="1">MID(MUNDIAL!I73,1,3)</f>
        <v>Jap</v>
      </c>
      <c r="O19" s="749">
        <f>IF(ISBLANK(MUNDIAL!K73),"",(MUNDIAL!K73))</f>
        <v>1</v>
      </c>
      <c r="P19" s="750" t="str">
        <f>IF(ISBLANK(MUNDIAL!J73),"","("&amp;(MUNDIAL!J73)&amp;")")</f>
        <v>(1)</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(3)</v>
      </c>
      <c r="AM19" s="749">
        <f>IF(ISBLANK(MUNDIAL!K75),"",(MUNDIAL!K75))</f>
        <v>0</v>
      </c>
      <c r="AN19" s="748" t="str">
        <f ca="1">MID(MUNDIAL!I75,1,3)</f>
        <v>Mar</v>
      </c>
      <c r="AO19" s="1"/>
      <c r="AP19" s="660"/>
      <c r="AQ19" s="674" t="str">
        <f ca="1">MID(MUNDIAL!I54,1,3)</f>
        <v>Cam</v>
      </c>
      <c r="AR19" s="675">
        <f>MUNDIAL!K54</f>
        <v>3</v>
      </c>
      <c r="AS19" s="675">
        <f>MUNDIAL!L54</f>
        <v>3</v>
      </c>
      <c r="AT19" s="676" t="str">
        <f ca="1">MID(MUNDIAL!N54,1,3)</f>
        <v>Ser</v>
      </c>
      <c r="AU19" s="1">
        <v>2</v>
      </c>
      <c r="AV19" s="744" t="str">
        <f ca="1">MID(MUNDIAL!R55,1,3)</f>
        <v>Sui</v>
      </c>
      <c r="AW19" s="805">
        <f ca="1">MUNDIAL!S55</f>
        <v>6</v>
      </c>
      <c r="AX19" s="809">
        <f ca="1">MUNDIAL!T55</f>
        <v>3</v>
      </c>
      <c r="AY19" s="669">
        <f ca="1">MUNDIAL!Z55</f>
        <v>1</v>
      </c>
      <c r="AZ19" s="670">
        <f ca="1">MUNDIAL!X55</f>
        <v>4</v>
      </c>
      <c r="BA19" s="1"/>
    </row>
    <row r="20" spans="1:53">
      <c r="A20" s="1"/>
      <c r="B20" s="519"/>
      <c r="C20" s="530" t="str">
        <f ca="1">MID(MUNDIAL!I23,1,3)</f>
        <v>Arg</v>
      </c>
      <c r="D20" s="541">
        <f>MUNDIAL!K23</f>
        <v>2</v>
      </c>
      <c r="E20" s="538">
        <f>MUNDIAL!L23</f>
        <v>0</v>
      </c>
      <c r="F20" s="536" t="str">
        <f ca="1">MID(MUNDIAL!N23,1,3)</f>
        <v>Méx</v>
      </c>
      <c r="G20" s="704">
        <v>3</v>
      </c>
      <c r="H20" s="737" t="str">
        <f ca="1">MID(MUNDIAL!R24,1,3)</f>
        <v>Méx</v>
      </c>
      <c r="I20" s="797">
        <f ca="1">MUNDIAL!S24</f>
        <v>4</v>
      </c>
      <c r="J20" s="535">
        <f ca="1">MUNDIAL!T24</f>
        <v>3</v>
      </c>
      <c r="K20" s="533">
        <f ca="1">MUNDIAL!Z24</f>
        <v>-1</v>
      </c>
      <c r="L20" s="532">
        <f ca="1">MUNDIAL!X24</f>
        <v>2</v>
      </c>
      <c r="M20" s="1"/>
      <c r="N20" s="748" t="str">
        <f ca="1">MID(MUNDIAL!N73,1,3)</f>
        <v>Cro</v>
      </c>
      <c r="O20" s="749">
        <f>IF(ISBLANK(MUNDIAL!L73),"",(MUNDIAL!L73))</f>
        <v>1</v>
      </c>
      <c r="P20" s="751" t="str">
        <f>IF(ISBLANK(MUNDIAL!M73),"","("&amp;(MUNDIAL!M73)&amp;")")</f>
        <v>(3)</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(0)</v>
      </c>
      <c r="AM20" s="749">
        <f>IF(ISBLANK(MUNDIAL!L75),"",(MUNDIAL!L75))</f>
        <v>0</v>
      </c>
      <c r="AN20" s="748" t="str">
        <f ca="1">MID(MUNDIAL!N75,1,3)</f>
        <v>Esp</v>
      </c>
      <c r="AO20" s="1"/>
      <c r="AP20" s="660"/>
      <c r="AQ20" s="674" t="str">
        <f ca="1">MID(MUNDIAL!I55,1,3)</f>
        <v>Bra</v>
      </c>
      <c r="AR20" s="675">
        <f>MUNDIAL!K55</f>
        <v>1</v>
      </c>
      <c r="AS20" s="675">
        <f>MUNDIAL!L55</f>
        <v>0</v>
      </c>
      <c r="AT20" s="676" t="str">
        <f ca="1">MID(MUNDIAL!N55,1,3)</f>
        <v>Sui</v>
      </c>
      <c r="AU20" s="1">
        <v>3</v>
      </c>
      <c r="AV20" s="744" t="str">
        <f ca="1">MID(MUNDIAL!R56,1,3)</f>
        <v>Cam</v>
      </c>
      <c r="AW20" s="805">
        <f ca="1">MUNDIAL!S56</f>
        <v>4</v>
      </c>
      <c r="AX20" s="809">
        <f ca="1">MUNDIAL!T56</f>
        <v>3</v>
      </c>
      <c r="AY20" s="669">
        <f ca="1">MUNDIAL!Z56</f>
        <v>0</v>
      </c>
      <c r="AZ20" s="670">
        <f ca="1">MUNDIAL!X56</f>
        <v>4</v>
      </c>
      <c r="BA20" s="1"/>
    </row>
    <row r="21" spans="1:53">
      <c r="A21" s="1"/>
      <c r="B21" s="519"/>
      <c r="C21" s="530" t="str">
        <f ca="1">MID(MUNDIAL!I24,1,3)</f>
        <v>Pol</v>
      </c>
      <c r="D21" s="541">
        <f>MUNDIAL!K24</f>
        <v>0</v>
      </c>
      <c r="E21" s="538">
        <f>MUNDIAL!L24</f>
        <v>2</v>
      </c>
      <c r="F21" s="536" t="str">
        <f ca="1">MID(MUNDIAL!N24,1,3)</f>
        <v>Arg</v>
      </c>
      <c r="G21" s="704">
        <v>4</v>
      </c>
      <c r="H21" s="737" t="str">
        <f ca="1">MID(MUNDIAL!R25,1,3)</f>
        <v>Ara</v>
      </c>
      <c r="I21" s="797">
        <f ca="1">MUNDIAL!S25</f>
        <v>3</v>
      </c>
      <c r="J21" s="535">
        <f ca="1">MUNDIAL!T25</f>
        <v>3</v>
      </c>
      <c r="K21" s="533">
        <f ca="1">MUNDIAL!Z25</f>
        <v>-2</v>
      </c>
      <c r="L21" s="532">
        <f ca="1">MUNDIAL!X25</f>
        <v>3</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2</v>
      </c>
      <c r="AS21" s="675">
        <f>MUNDIAL!L56</f>
        <v>3</v>
      </c>
      <c r="AT21" s="676" t="str">
        <f ca="1">MID(MUNDIAL!N56,1,3)</f>
        <v>Sui</v>
      </c>
      <c r="AU21" s="1">
        <v>4</v>
      </c>
      <c r="AV21" s="745" t="str">
        <f ca="1">MID(MUNDIAL!R57,1,3)</f>
        <v>Ser</v>
      </c>
      <c r="AW21" s="806">
        <f ca="1">MUNDIAL!S57</f>
        <v>1</v>
      </c>
      <c r="AX21" s="809">
        <f ca="1">MUNDIAL!T57</f>
        <v>3</v>
      </c>
      <c r="AY21" s="665">
        <f ca="1">MUNDIAL!Z57</f>
        <v>-3</v>
      </c>
      <c r="AZ21" s="666">
        <f ca="1">MUNDIAL!X57</f>
        <v>5</v>
      </c>
      <c r="BA21" s="1"/>
    </row>
    <row r="22" spans="1:53" ht="15.75" thickBot="1">
      <c r="A22" s="1"/>
      <c r="B22" s="511"/>
      <c r="C22" s="529" t="str">
        <f ca="1">MID(MUNDIAL!I25,1,3)</f>
        <v>Ara</v>
      </c>
      <c r="D22" s="542">
        <f>MUNDIAL!K25</f>
        <v>1</v>
      </c>
      <c r="E22" s="539">
        <f>MUNDIAL!L25</f>
        <v>2</v>
      </c>
      <c r="F22" s="531" t="str">
        <f ca="1">MID(MUNDIAL!N25,1,3)</f>
        <v>Méx</v>
      </c>
      <c r="G22" s="705"/>
      <c r="H22" s="585"/>
      <c r="I22" s="584"/>
      <c r="J22" s="584"/>
      <c r="K22" s="584"/>
      <c r="L22" s="586"/>
      <c r="M22" s="1"/>
      <c r="N22" s="752"/>
      <c r="O22" s="752"/>
      <c r="P22" s="753"/>
      <c r="Q22" s="728"/>
      <c r="R22" s="769" t="str">
        <f ca="1">MID(MUNDIAL!I80,1,3)</f>
        <v>Cro</v>
      </c>
      <c r="S22" s="762">
        <f>IF(ISBLANK(MUNDIAL!K80),"",(MUNDIAL!K80))</f>
        <v>0</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f>IF(ISBLANK(MUNDIAL!K82),"",(MUNDIAL!K82))</f>
        <v>0</v>
      </c>
      <c r="AJ22" s="763" t="str">
        <f ca="1">MID(MUNDIAL!I82,1,3)</f>
        <v>Mar</v>
      </c>
      <c r="AK22" s="729"/>
      <c r="AL22" s="752"/>
      <c r="AM22" s="752"/>
      <c r="AN22" s="752"/>
      <c r="AO22" s="1"/>
      <c r="AP22" s="661"/>
      <c r="AQ22" s="671" t="str">
        <f ca="1">MID(MUNDIAL!I57,1,3)</f>
        <v>Cam</v>
      </c>
      <c r="AR22" s="672">
        <f>MUNDIAL!K57</f>
        <v>1</v>
      </c>
      <c r="AS22" s="672">
        <f>MUNDIAL!L57</f>
        <v>0</v>
      </c>
      <c r="AT22" s="673" t="str">
        <f ca="1">MID(MUNDIAL!N57,1,3)</f>
        <v>Bra</v>
      </c>
      <c r="AU22" s="713"/>
      <c r="AV22" s="656"/>
      <c r="AW22" s="657"/>
      <c r="AX22" s="657"/>
      <c r="AY22" s="657"/>
      <c r="AZ22" s="658"/>
      <c r="BA22" s="1"/>
    </row>
    <row r="23" spans="1:53" ht="15.75" thickBot="1">
      <c r="A23" s="1"/>
      <c r="B23" s="494"/>
      <c r="C23" s="496"/>
      <c r="D23" s="2"/>
      <c r="E23" s="2"/>
      <c r="F23" s="1"/>
      <c r="G23" s="1"/>
      <c r="H23" s="496"/>
      <c r="I23" s="1"/>
      <c r="J23" s="1"/>
      <c r="K23" s="1"/>
      <c r="L23" s="1"/>
      <c r="M23" s="1"/>
      <c r="N23" s="752"/>
      <c r="O23" s="752"/>
      <c r="P23" s="753"/>
      <c r="Q23" s="493"/>
      <c r="R23" s="769" t="str">
        <f ca="1">MID(MUNDIAL!N80,1,3)</f>
        <v>Bra</v>
      </c>
      <c r="S23" s="762">
        <f>IF(ISBLANK(MUNDIAL!L80),"",(MUNDIAL!L80))</f>
        <v>2</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f>IF(ISBLANK(MUNDIAL!L82),"",(MUNDIAL!L82))</f>
        <v>3</v>
      </c>
      <c r="AJ23" s="763" t="str">
        <f ca="1">MID(MUNDIAL!N82,1,3)</f>
        <v>Por</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0</v>
      </c>
      <c r="E24" s="521">
        <f>MUNDIAL!L28</f>
        <v>0</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0</v>
      </c>
      <c r="AS24" s="684">
        <f>MUNDIAL!L60</f>
        <v>0</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4</v>
      </c>
      <c r="E25" s="517">
        <f>MUNDIAL!L29</f>
        <v>1</v>
      </c>
      <c r="F25" s="518" t="str">
        <f ca="1">MID(MUNDIAL!N29,1,3)</f>
        <v>Aus</v>
      </c>
      <c r="G25" s="1">
        <v>1</v>
      </c>
      <c r="H25" s="738" t="str">
        <f ca="1">MID(MUNDIAL!R30,1,3)</f>
        <v>Fra</v>
      </c>
      <c r="I25" s="798">
        <f ca="1">MUNDIAL!S30</f>
        <v>6</v>
      </c>
      <c r="J25" s="516">
        <f ca="1">MUNDIAL!T30</f>
        <v>3</v>
      </c>
      <c r="K25" s="516">
        <f ca="1">MUNDIAL!Z30</f>
        <v>3</v>
      </c>
      <c r="L25" s="524">
        <f ca="1">MUNDIAL!X30</f>
        <v>6</v>
      </c>
      <c r="M25" s="1"/>
      <c r="N25" s="748" t="str">
        <f ca="1">MID(MUNDIAL!I74,1,3)</f>
        <v>Bra</v>
      </c>
      <c r="O25" s="749">
        <f>IF(ISBLANK(MUNDIAL!K74),"",(MUNDIAL!K74))</f>
        <v>4</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f>IF(ISBLANK(MUNDIAL!K76),"",(MUNDIAL!K76))</f>
        <v>6</v>
      </c>
      <c r="AN25" s="748" t="str">
        <f ca="1">MID(MUNDIAL!I76,1,3)</f>
        <v>Por</v>
      </c>
      <c r="AO25" s="1"/>
      <c r="AP25" s="697"/>
      <c r="AQ25" s="689" t="str">
        <f ca="1">MID(MUNDIAL!I61,1,3)</f>
        <v>Por</v>
      </c>
      <c r="AR25" s="681">
        <f>MUNDIAL!K61</f>
        <v>3</v>
      </c>
      <c r="AS25" s="681">
        <f>MUNDIAL!L61</f>
        <v>2</v>
      </c>
      <c r="AT25" s="682" t="str">
        <f ca="1">MID(MUNDIAL!N61,1,3)</f>
        <v>Gha</v>
      </c>
      <c r="AU25" s="715">
        <v>1</v>
      </c>
      <c r="AV25" s="746" t="str">
        <f ca="1">MID(MUNDIAL!R62,1,3)</f>
        <v>Por</v>
      </c>
      <c r="AW25" s="807">
        <f ca="1">MUNDIAL!S62</f>
        <v>6</v>
      </c>
      <c r="AX25" s="680">
        <f ca="1">MUNDIAL!T62</f>
        <v>3</v>
      </c>
      <c r="AY25" s="680">
        <f ca="1">MUNDIAL!Z62</f>
        <v>2</v>
      </c>
      <c r="AZ25" s="690">
        <f ca="1">MUNDIAL!X62</f>
        <v>6</v>
      </c>
      <c r="BA25" s="1"/>
    </row>
    <row r="26" spans="1:53">
      <c r="A26" s="1"/>
      <c r="B26" s="513"/>
      <c r="C26" s="523" t="str">
        <f ca="1">MID(MUNDIAL!I30,1,3)</f>
        <v>Tún</v>
      </c>
      <c r="D26" s="517">
        <f>MUNDIAL!K30</f>
        <v>0</v>
      </c>
      <c r="E26" s="517">
        <f>MUNDIAL!L30</f>
        <v>1</v>
      </c>
      <c r="F26" s="518" t="str">
        <f ca="1">MID(MUNDIAL!N30,1,3)</f>
        <v>Aus</v>
      </c>
      <c r="G26" s="1">
        <v>2</v>
      </c>
      <c r="H26" s="738" t="str">
        <f ca="1">MID(MUNDIAL!R31,1,3)</f>
        <v>Aus</v>
      </c>
      <c r="I26" s="798">
        <f ca="1">MUNDIAL!S31</f>
        <v>6</v>
      </c>
      <c r="J26" s="516">
        <f ca="1">MUNDIAL!T31</f>
        <v>3</v>
      </c>
      <c r="K26" s="516">
        <f ca="1">MUNDIAL!Z31</f>
        <v>-1</v>
      </c>
      <c r="L26" s="524">
        <f ca="1">MUNDIAL!X31</f>
        <v>3</v>
      </c>
      <c r="M26" s="1"/>
      <c r="N26" s="748" t="str">
        <f ca="1">MID(MUNDIAL!N74,1,3)</f>
        <v>Cor</v>
      </c>
      <c r="O26" s="749">
        <f>IF(ISBLANK(MUNDIAL!L74),"",(MUNDIAL!L74))</f>
        <v>1</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f>IF(ISBLANK(MUNDIAL!L76),"",(MUNDIAL!L76))</f>
        <v>1</v>
      </c>
      <c r="AN26" s="748" t="str">
        <f ca="1">MID(MUNDIAL!N76,1,3)</f>
        <v>Sui</v>
      </c>
      <c r="AO26" s="1"/>
      <c r="AP26" s="697"/>
      <c r="AQ26" s="689" t="str">
        <f ca="1">MID(MUNDIAL!I62,1,3)</f>
        <v>Cor</v>
      </c>
      <c r="AR26" s="681">
        <f>MUNDIAL!K62</f>
        <v>2</v>
      </c>
      <c r="AS26" s="681">
        <f>MUNDIAL!L62</f>
        <v>3</v>
      </c>
      <c r="AT26" s="682" t="str">
        <f ca="1">MID(MUNDIAL!N62,1,3)</f>
        <v>Gha</v>
      </c>
      <c r="AU26" s="715">
        <v>2</v>
      </c>
      <c r="AV26" s="746" t="str">
        <f ca="1">MID(MUNDIAL!R63,1,3)</f>
        <v>Cor</v>
      </c>
      <c r="AW26" s="807">
        <f ca="1">MUNDIAL!S63</f>
        <v>4</v>
      </c>
      <c r="AX26" s="680">
        <f ca="1">MUNDIAL!T63</f>
        <v>3</v>
      </c>
      <c r="AY26" s="680">
        <f ca="1">MUNDIAL!Z63</f>
        <v>0</v>
      </c>
      <c r="AZ26" s="690">
        <f ca="1">MUNDIAL!X63</f>
        <v>4</v>
      </c>
      <c r="BA26" s="1"/>
    </row>
    <row r="27" spans="1:53">
      <c r="A27" s="1"/>
      <c r="B27" s="514"/>
      <c r="C27" s="523" t="str">
        <f ca="1">MID(MUNDIAL!I31,1,3)</f>
        <v>Fra</v>
      </c>
      <c r="D27" s="517">
        <f>MUNDIAL!K31</f>
        <v>2</v>
      </c>
      <c r="E27" s="517">
        <f>MUNDIAL!L31</f>
        <v>1</v>
      </c>
      <c r="F27" s="518" t="str">
        <f ca="1">MID(MUNDIAL!N31,1,3)</f>
        <v>Din</v>
      </c>
      <c r="G27" s="1">
        <v>3</v>
      </c>
      <c r="H27" s="738" t="str">
        <f ca="1">MID(MUNDIAL!R32,1,3)</f>
        <v>Tún</v>
      </c>
      <c r="I27" s="798">
        <f ca="1">MUNDIAL!S32</f>
        <v>4</v>
      </c>
      <c r="J27" s="516">
        <f ca="1">MUNDIAL!T32</f>
        <v>3</v>
      </c>
      <c r="K27" s="516">
        <f ca="1">MUNDIAL!Z32</f>
        <v>0</v>
      </c>
      <c r="L27" s="524">
        <f ca="1">MUNDIAL!X32</f>
        <v>1</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2</v>
      </c>
      <c r="AS27" s="681">
        <f>MUNDIAL!L63</f>
        <v>0</v>
      </c>
      <c r="AT27" s="682" t="str">
        <f ca="1">MID(MUNDIAL!N63,1,3)</f>
        <v>Uru</v>
      </c>
      <c r="AU27" s="715">
        <v>3</v>
      </c>
      <c r="AV27" s="746" t="str">
        <f ca="1">MID(MUNDIAL!R64,1,3)</f>
        <v>Uru</v>
      </c>
      <c r="AW27" s="807">
        <f ca="1">MUNDIAL!S64</f>
        <v>4</v>
      </c>
      <c r="AX27" s="680">
        <f ca="1">MUNDIAL!T64</f>
        <v>3</v>
      </c>
      <c r="AY27" s="680">
        <f ca="1">MUNDIAL!Z64</f>
        <v>0</v>
      </c>
      <c r="AZ27" s="690">
        <f ca="1">MUNDIAL!X64</f>
        <v>2</v>
      </c>
      <c r="BA27" s="1"/>
    </row>
    <row r="28" spans="1:53">
      <c r="A28" s="1"/>
      <c r="B28" s="514"/>
      <c r="C28" s="523" t="str">
        <f ca="1">MID(MUNDIAL!I32,1,3)</f>
        <v>Aus</v>
      </c>
      <c r="D28" s="517">
        <f>MUNDIAL!K32</f>
        <v>1</v>
      </c>
      <c r="E28" s="517">
        <f>MUNDIAL!L32</f>
        <v>0</v>
      </c>
      <c r="F28" s="518" t="str">
        <f ca="1">MID(MUNDIAL!N32,1,3)</f>
        <v>Din</v>
      </c>
      <c r="G28" s="1">
        <v>4</v>
      </c>
      <c r="H28" s="738" t="str">
        <f ca="1">MID(MUNDIAL!R33,1,3)</f>
        <v>Din</v>
      </c>
      <c r="I28" s="798">
        <f ca="1">MUNDIAL!S33</f>
        <v>1</v>
      </c>
      <c r="J28" s="516">
        <f ca="1">MUNDIAL!T33</f>
        <v>3</v>
      </c>
      <c r="K28" s="516">
        <f ca="1">MUNDIAL!Z33</f>
        <v>-2</v>
      </c>
      <c r="L28" s="524">
        <f ca="1">MUNDIAL!X33</f>
        <v>1</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0</v>
      </c>
      <c r="AS28" s="681">
        <f>MUNDIAL!L64</f>
        <v>2</v>
      </c>
      <c r="AT28" s="682" t="str">
        <f ca="1">MID(MUNDIAL!N64,1,3)</f>
        <v>Uru</v>
      </c>
      <c r="AU28" s="715">
        <v>4</v>
      </c>
      <c r="AV28" s="746" t="str">
        <f ca="1">MID(MUNDIAL!R65,1,3)</f>
        <v>Gha</v>
      </c>
      <c r="AW28" s="807">
        <f ca="1">MUNDIAL!S65</f>
        <v>3</v>
      </c>
      <c r="AX28" s="680">
        <f ca="1">MUNDIAL!T65</f>
        <v>3</v>
      </c>
      <c r="AY28" s="680">
        <f ca="1">MUNDIAL!Z65</f>
        <v>-2</v>
      </c>
      <c r="AZ28" s="690">
        <f ca="1">MUNDIAL!X65</f>
        <v>5</v>
      </c>
      <c r="BA28" s="1"/>
    </row>
    <row r="29" spans="1:53" ht="15.75" thickBot="1">
      <c r="A29" s="1"/>
      <c r="B29" s="515"/>
      <c r="C29" s="525" t="str">
        <f ca="1">MID(MUNDIAL!I33,1,3)</f>
        <v>Tún</v>
      </c>
      <c r="D29" s="526">
        <f>MUNDIAL!K33</f>
        <v>1</v>
      </c>
      <c r="E29" s="526">
        <f>MUNDIAL!L33</f>
        <v>0</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2</v>
      </c>
      <c r="AS29" s="692">
        <f>MUNDIAL!L65</f>
        <v>1</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ColWidth="10.85546875" defaultRowHeight="15"/>
  <cols>
    <col min="1" max="1" width="13.140625" style="848" bestFit="1" customWidth="1"/>
    <col min="2" max="2" width="10.85546875" style="848"/>
    <col min="3" max="3" width="17.140625" style="848" customWidth="1"/>
    <col min="4" max="16384" width="10.85546875" style="848"/>
  </cols>
  <sheetData>
    <row r="2" spans="1:17">
      <c r="F2" s="848" t="s">
        <v>252</v>
      </c>
    </row>
    <row r="3" spans="1:17">
      <c r="A3" s="849" t="s">
        <v>87</v>
      </c>
      <c r="C3" s="848">
        <f>IFERROR(VLOOKUP(MUNDIAL!G1,L4:M60,2,0),10)</f>
        <v>9</v>
      </c>
      <c r="F3" s="848" t="s">
        <v>158</v>
      </c>
      <c r="G3" s="848" t="s">
        <v>235</v>
      </c>
      <c r="H3" s="848" t="s">
        <v>238</v>
      </c>
      <c r="J3" s="849"/>
      <c r="K3" s="849"/>
      <c r="L3" s="849">
        <v>1</v>
      </c>
      <c r="M3" s="850"/>
      <c r="N3" s="849"/>
      <c r="O3" s="849"/>
    </row>
    <row r="4" spans="1:17">
      <c r="A4" s="851">
        <v>44886.791666666664</v>
      </c>
      <c r="C4" s="852">
        <f t="shared" ref="C4:C9" si="0">A4+VLOOKUP($C$3,$K$4:$O$60,4,0)*VLOOKUP($C$3,$K$4:$O$60,5,0)</f>
        <v>44886.791666666664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44885.791666666664</v>
      </c>
      <c r="E5" s="848">
        <v>1</v>
      </c>
      <c r="F5" s="848" t="s">
        <v>85</v>
      </c>
      <c r="G5" s="848">
        <v>1</v>
      </c>
      <c r="H5" s="848">
        <f>G5-$G$4</f>
        <v>-2</v>
      </c>
      <c r="J5" s="849"/>
      <c r="K5" s="849">
        <v>2</v>
      </c>
      <c r="L5" s="848" t="s">
        <v>320</v>
      </c>
      <c r="M5" s="849">
        <v>2</v>
      </c>
      <c r="N5" s="853">
        <v>0</v>
      </c>
      <c r="O5" s="848">
        <v>0</v>
      </c>
    </row>
    <row r="6" spans="1:17">
      <c r="A6" s="851">
        <v>44890.666666666664</v>
      </c>
      <c r="C6" s="852">
        <f t="shared" si="0"/>
        <v>44890.666666666664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44890.791666666664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44886.666666666664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44886.916666666664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44890.541666666664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44890.916666666664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44894.916666666664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44894.916666666664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44887.541666666664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44887.791666666664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44891.666666666664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44891.916666666664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44895.916666666664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44895.916666666664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44887.666666666664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44887.916666666664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44891.541666666664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44891.791666666664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44888.666666666664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44888.791666666664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44892.541666666664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44892.916666666664</v>
      </c>
      <c r="F39" s="848" t="s">
        <v>347</v>
      </c>
      <c r="G39" s="848">
        <v>-9</v>
      </c>
      <c r="H39" s="848">
        <f t="shared" si="8"/>
        <v>-12</v>
      </c>
      <c r="K39" s="849">
        <v>36</v>
      </c>
      <c r="L39" s="848" t="s">
        <v>347</v>
      </c>
      <c r="M39" s="849">
        <v>36</v>
      </c>
      <c r="N39" s="853">
        <v>0.5</v>
      </c>
      <c r="O39" s="848">
        <v>-1</v>
      </c>
    </row>
    <row r="40" spans="1:15">
      <c r="A40" s="851">
        <v>44896.916666666664</v>
      </c>
      <c r="C40" s="852">
        <f t="shared" si="7"/>
        <v>44896.916666666664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44896.916666666664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44888.541666666664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44888.916666666664</v>
      </c>
      <c r="F45" s="848" t="s">
        <v>353</v>
      </c>
      <c r="G45" s="848">
        <v>-3</v>
      </c>
      <c r="H45" s="848">
        <f t="shared" si="8"/>
        <v>-6</v>
      </c>
      <c r="K45" s="849">
        <v>42</v>
      </c>
      <c r="L45" s="848" t="s">
        <v>353</v>
      </c>
      <c r="M45" s="849">
        <v>42</v>
      </c>
      <c r="N45" s="853">
        <v>0.25</v>
      </c>
      <c r="O45" s="848">
        <v>-1</v>
      </c>
    </row>
    <row r="46" spans="1:15">
      <c r="A46" s="851">
        <v>44892.666666666664</v>
      </c>
      <c r="C46" s="852">
        <f t="shared" si="9"/>
        <v>44892.666666666664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44892.791666666664</v>
      </c>
      <c r="F47" s="848" t="s">
        <v>355</v>
      </c>
      <c r="G47" s="848">
        <v>-1</v>
      </c>
      <c r="H47" s="848">
        <f t="shared" si="8"/>
        <v>-4</v>
      </c>
      <c r="K47" s="849">
        <v>44</v>
      </c>
      <c r="L47" s="848" t="s">
        <v>355</v>
      </c>
      <c r="M47" s="849">
        <v>44</v>
      </c>
      <c r="N47" s="853">
        <v>0.16666666666666699</v>
      </c>
      <c r="O47" s="848">
        <v>-1</v>
      </c>
    </row>
    <row r="48" spans="1:15">
      <c r="A48" s="851">
        <v>44896.75</v>
      </c>
      <c r="C48" s="852">
        <f t="shared" si="9"/>
        <v>44896.75</v>
      </c>
      <c r="F48" s="848" t="s">
        <v>356</v>
      </c>
      <c r="G48" s="848">
        <v>0</v>
      </c>
      <c r="H48" s="848">
        <f t="shared" si="8"/>
        <v>-3</v>
      </c>
      <c r="K48" s="849">
        <v>45</v>
      </c>
      <c r="L48" s="848" t="s">
        <v>356</v>
      </c>
      <c r="M48" s="849">
        <v>45</v>
      </c>
      <c r="N48" s="853">
        <v>0.125</v>
      </c>
      <c r="O48" s="848">
        <v>-1</v>
      </c>
    </row>
    <row r="49" spans="1:15">
      <c r="A49" s="851">
        <v>44896.75</v>
      </c>
      <c r="C49" s="852">
        <f t="shared" si="9"/>
        <v>44896.75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44889.541666666664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44889.916666666664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44893.541666666664</v>
      </c>
      <c r="F54" s="848" t="s">
        <v>362</v>
      </c>
      <c r="G54" s="848">
        <v>6</v>
      </c>
      <c r="H54" s="848">
        <f t="shared" si="8"/>
        <v>3</v>
      </c>
      <c r="K54" s="849">
        <v>51</v>
      </c>
      <c r="L54" s="848" t="s">
        <v>362</v>
      </c>
      <c r="M54" s="849">
        <v>51</v>
      </c>
      <c r="N54" s="853">
        <v>0.125</v>
      </c>
      <c r="O54" s="848">
        <v>1</v>
      </c>
    </row>
    <row r="55" spans="1:15">
      <c r="A55" s="851">
        <v>44893.791666666664</v>
      </c>
      <c r="C55" s="852">
        <f t="shared" si="10"/>
        <v>44893.791666666664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44897.916666666664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44897.916666666664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44889.666666666664</v>
      </c>
      <c r="F60" s="848" t="s">
        <v>368</v>
      </c>
      <c r="G60" s="848">
        <v>12</v>
      </c>
      <c r="H60" s="848">
        <f t="shared" si="8"/>
        <v>9</v>
      </c>
      <c r="K60" s="849">
        <v>57</v>
      </c>
      <c r="L60" s="848" t="s">
        <v>368</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141</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140</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89</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192</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2578125" defaultRowHeight="15" customHeight="1"/>
  <cols>
    <col min="1" max="1" width="6.85546875" style="846" bestFit="1" customWidth="1"/>
    <col min="2" max="2" width="16.85546875" style="846" customWidth="1"/>
    <col min="3" max="3" width="11.42578125" style="846" customWidth="1"/>
    <col min="4" max="4" width="8.85546875" style="846" bestFit="1" customWidth="1"/>
    <col min="5" max="5" width="11.28515625" style="846" customWidth="1"/>
    <col min="6" max="6" width="15.28515625" style="846" customWidth="1"/>
    <col min="7" max="7" width="4.140625" style="846" bestFit="1" customWidth="1"/>
    <col min="8" max="8" width="20.42578125" style="846"/>
    <col min="9" max="9" width="13" style="846" customWidth="1"/>
    <col min="10" max="10" width="12" style="846" customWidth="1"/>
    <col min="11" max="12" width="20.42578125" style="846"/>
    <col min="13" max="16384" width="20.4257812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85546875" defaultRowHeight="15"/>
  <cols>
    <col min="1" max="1" width="6" style="329" customWidth="1"/>
    <col min="2" max="2" width="7.42578125" style="329" customWidth="1"/>
    <col min="3" max="6" width="10.85546875" style="329"/>
    <col min="7" max="7" width="39.7109375" style="329" customWidth="1"/>
    <col min="8" max="16384" width="10.85546875" style="329"/>
  </cols>
  <sheetData>
    <row r="1" spans="1:14">
      <c r="A1" s="327"/>
      <c r="B1" s="327"/>
      <c r="C1" s="328"/>
      <c r="D1" s="328"/>
      <c r="E1" s="328"/>
      <c r="F1" s="328"/>
      <c r="G1" s="328"/>
    </row>
    <row r="2" spans="1:14">
      <c r="A2" s="327"/>
      <c r="B2" s="330" t="s">
        <v>69</v>
      </c>
      <c r="C2" s="331"/>
      <c r="D2" s="331"/>
      <c r="E2" s="331"/>
      <c r="F2" s="331"/>
      <c r="G2" s="331"/>
    </row>
    <row r="3" spans="1:14">
      <c r="A3" s="327"/>
      <c r="B3" s="975" t="s">
        <v>120</v>
      </c>
      <c r="C3" s="975"/>
      <c r="D3" s="975"/>
      <c r="E3" s="975"/>
      <c r="F3" s="975"/>
      <c r="G3" s="975"/>
      <c r="I3" s="975"/>
      <c r="J3" s="975"/>
      <c r="K3" s="975"/>
      <c r="L3" s="975"/>
      <c r="M3" s="975"/>
      <c r="N3" s="975"/>
    </row>
    <row r="4" spans="1:14">
      <c r="A4" s="327"/>
      <c r="B4" s="975"/>
      <c r="C4" s="975"/>
      <c r="D4" s="975"/>
      <c r="E4" s="975"/>
      <c r="F4" s="975"/>
      <c r="G4" s="975"/>
      <c r="I4" s="975"/>
      <c r="J4" s="975"/>
      <c r="K4" s="975"/>
      <c r="L4" s="975"/>
      <c r="M4" s="975"/>
      <c r="N4" s="975"/>
    </row>
    <row r="5" spans="1:14">
      <c r="A5" s="327"/>
      <c r="B5" s="975"/>
      <c r="C5" s="975"/>
      <c r="D5" s="975"/>
      <c r="E5" s="975"/>
      <c r="F5" s="975"/>
      <c r="G5" s="975"/>
      <c r="I5" s="975"/>
      <c r="J5" s="975"/>
      <c r="K5" s="975"/>
      <c r="L5" s="975"/>
      <c r="M5" s="975"/>
      <c r="N5" s="975"/>
    </row>
    <row r="6" spans="1:14">
      <c r="A6" s="327"/>
      <c r="B6" s="975"/>
      <c r="C6" s="975"/>
      <c r="D6" s="975"/>
      <c r="E6" s="975"/>
      <c r="F6" s="975"/>
      <c r="G6" s="975"/>
      <c r="I6" s="975"/>
      <c r="J6" s="975"/>
      <c r="K6" s="975"/>
      <c r="L6" s="975"/>
      <c r="M6" s="975"/>
      <c r="N6" s="975"/>
    </row>
    <row r="7" spans="1:14">
      <c r="A7" s="327"/>
      <c r="B7" s="975"/>
      <c r="C7" s="975"/>
      <c r="D7" s="975"/>
      <c r="E7" s="975"/>
      <c r="F7" s="975"/>
      <c r="G7" s="975"/>
      <c r="I7" s="975"/>
      <c r="J7" s="975"/>
      <c r="K7" s="975"/>
      <c r="L7" s="975"/>
      <c r="M7" s="975"/>
      <c r="N7" s="975"/>
    </row>
    <row r="8" spans="1:14">
      <c r="A8" s="327"/>
      <c r="B8" s="975"/>
      <c r="C8" s="975"/>
      <c r="D8" s="975"/>
      <c r="E8" s="975"/>
      <c r="F8" s="975"/>
      <c r="G8" s="975"/>
      <c r="I8" s="975"/>
      <c r="J8" s="975"/>
      <c r="K8" s="975"/>
      <c r="L8" s="975"/>
      <c r="M8" s="975"/>
      <c r="N8" s="975"/>
    </row>
    <row r="9" spans="1:14">
      <c r="A9" s="327"/>
      <c r="B9" s="975"/>
      <c r="C9" s="975"/>
      <c r="D9" s="975"/>
      <c r="E9" s="975"/>
      <c r="F9" s="975"/>
      <c r="G9" s="975"/>
      <c r="I9" s="975"/>
      <c r="J9" s="975"/>
      <c r="K9" s="975"/>
      <c r="L9" s="975"/>
      <c r="M9" s="975"/>
      <c r="N9" s="975"/>
    </row>
    <row r="10" spans="1:14">
      <c r="A10" s="327"/>
      <c r="B10" s="975"/>
      <c r="C10" s="975"/>
      <c r="D10" s="975"/>
      <c r="E10" s="975"/>
      <c r="F10" s="975"/>
      <c r="G10" s="975"/>
      <c r="I10" s="975"/>
      <c r="J10" s="975"/>
      <c r="K10" s="975"/>
      <c r="L10" s="975"/>
      <c r="M10" s="975"/>
      <c r="N10" s="975"/>
    </row>
    <row r="11" spans="1:14">
      <c r="A11" s="327"/>
      <c r="B11" s="975"/>
      <c r="C11" s="975"/>
      <c r="D11" s="975"/>
      <c r="E11" s="975"/>
      <c r="F11" s="975"/>
      <c r="G11" s="975"/>
      <c r="I11" s="975"/>
      <c r="J11" s="975"/>
      <c r="K11" s="975"/>
      <c r="L11" s="975"/>
      <c r="M11" s="975"/>
      <c r="N11" s="975"/>
    </row>
    <row r="12" spans="1:14">
      <c r="A12" s="327"/>
      <c r="B12" s="975"/>
      <c r="C12" s="975"/>
      <c r="D12" s="975"/>
      <c r="E12" s="975"/>
      <c r="F12" s="975"/>
      <c r="G12" s="975"/>
      <c r="I12" s="975"/>
      <c r="J12" s="975"/>
      <c r="K12" s="975"/>
      <c r="L12" s="975"/>
      <c r="M12" s="975"/>
      <c r="N12" s="975"/>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Ari Nazareth Mendez Mazariegos</cp:lastModifiedBy>
  <cp:lastPrinted>2018-12-06T18:06:35Z</cp:lastPrinted>
  <dcterms:created xsi:type="dcterms:W3CDTF">2015-10-31T09:41:54Z</dcterms:created>
  <dcterms:modified xsi:type="dcterms:W3CDTF">2022-12-09T14:44:27Z</dcterms:modified>
</cp:coreProperties>
</file>