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https://d.docs.live.net/6037dc2866a0accd/Escritorio/"/>
    </mc:Choice>
  </mc:AlternateContent>
  <xr:revisionPtr revIDLastSave="0" documentId="8_{BB56BDC7-F8F3-4DDE-A643-BD26D57DA4B8}"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120" yWindow="-120" windowWidth="20730" windowHeight="1104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81029"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AY31" i="3"/>
  <c r="AY32" i="3"/>
  <c r="BF29" i="3"/>
  <c r="BF31" i="3" a="1"/>
  <c r="BF31" i="3"/>
  <c r="BC31" i="3"/>
  <c r="BE29" i="3"/>
  <c r="BE32" i="3" a="1"/>
  <c r="BE32" i="3"/>
  <c r="BC32" i="3"/>
  <c r="BC33" i="3"/>
  <c r="BB30" i="3"/>
  <c r="BI30" i="3"/>
  <c r="BL31" i="3"/>
  <c r="BI31" i="3"/>
  <c r="BK32" i="3"/>
  <c r="BI32" i="3"/>
  <c r="BI33" i="3"/>
  <c r="BH30" i="3"/>
  <c r="BO30" i="3"/>
  <c r="BR29" i="3"/>
  <c r="BR31" i="3" a="1"/>
  <c r="BR31" i="3"/>
  <c r="BO31" i="3"/>
  <c r="BQ29" i="3"/>
  <c r="BQ32" i="3" a="1"/>
  <c r="BQ32"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AY38" i="3"/>
  <c r="AY41" i="3"/>
  <c r="BG37" i="3"/>
  <c r="BG38" i="3" a="1"/>
  <c r="BG38" i="3"/>
  <c r="BC38" i="3"/>
  <c r="BC39" i="3"/>
  <c r="BC40" i="3"/>
  <c r="BD37" i="3"/>
  <c r="BD41" i="3" a="1"/>
  <c r="BD41" i="3"/>
  <c r="BC41" i="3"/>
  <c r="BB38" i="3"/>
  <c r="BM38" i="3"/>
  <c r="BI38" i="3"/>
  <c r="BI39" i="3"/>
  <c r="BI40" i="3"/>
  <c r="BJ41" i="3"/>
  <c r="BI41" i="3"/>
  <c r="BH38" i="3"/>
  <c r="BS37" i="3"/>
  <c r="BS38" i="3" a="1"/>
  <c r="BS38" i="3"/>
  <c r="BO38" i="3"/>
  <c r="BO39" i="3"/>
  <c r="BO40" i="3"/>
  <c r="BP37" i="3"/>
  <c r="BP41" i="3" a="1"/>
  <c r="BP41" i="3"/>
  <c r="BO41" i="3"/>
  <c r="BN38" i="3"/>
  <c r="BA38" i="3"/>
  <c r="AR38" i="3"/>
  <c r="BW38" i="3"/>
  <c r="AK39" i="3"/>
  <c r="BB39" i="3"/>
  <c r="BH39" i="3"/>
  <c r="BN39" i="3"/>
  <c r="BA39" i="3"/>
  <c r="AR39" i="3"/>
  <c r="BW39" i="3"/>
  <c r="AK40" i="3"/>
  <c r="AY39" i="3"/>
  <c r="BE37" i="3"/>
  <c r="BE38" i="3" a="1"/>
  <c r="BE38" i="3"/>
  <c r="BD39" i="3" a="1"/>
  <c r="BD39" i="3"/>
  <c r="BB40" i="3"/>
  <c r="BK38" i="3"/>
  <c r="BJ39" i="3"/>
  <c r="BH40" i="3"/>
  <c r="BQ37" i="3"/>
  <c r="BQ38" i="3" a="1"/>
  <c r="BQ38"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7" i="3"/>
  <c r="BE45" i="3"/>
  <c r="BE46" i="3" a="1"/>
  <c r="BE46" i="3"/>
  <c r="BC46" i="3"/>
  <c r="BD45" i="3"/>
  <c r="BD47" i="3" a="1"/>
  <c r="BD47" i="3"/>
  <c r="BC47" i="3"/>
  <c r="AY48" i="3"/>
  <c r="AY49" i="3"/>
  <c r="BG45" i="3"/>
  <c r="BG48" i="3" a="1"/>
  <c r="BG48" i="3"/>
  <c r="BC48" i="3"/>
  <c r="BF45" i="3"/>
  <c r="BF49" i="3" a="1"/>
  <c r="BF49" i="3"/>
  <c r="BC49" i="3"/>
  <c r="BB46" i="3"/>
  <c r="BK46" i="3"/>
  <c r="BI46" i="3"/>
  <c r="BJ47" i="3"/>
  <c r="BI47" i="3"/>
  <c r="BM48" i="3"/>
  <c r="BI48" i="3"/>
  <c r="BL49" i="3"/>
  <c r="BI49" i="3"/>
  <c r="BH46" i="3"/>
  <c r="BQ45" i="3"/>
  <c r="BQ46" i="3" a="1"/>
  <c r="BQ46" i="3"/>
  <c r="BO46" i="3"/>
  <c r="BP45" i="3"/>
  <c r="BP47" i="3" a="1"/>
  <c r="BP47" i="3"/>
  <c r="BO47" i="3"/>
  <c r="BS45" i="3"/>
  <c r="BS48" i="3" a="1"/>
  <c r="BS48" i="3"/>
  <c r="BO48" i="3"/>
  <c r="BR45" i="3"/>
  <c r="BR49" i="3" a="1"/>
  <c r="BR49" i="3"/>
  <c r="BO49" i="3"/>
  <c r="BN46" i="3"/>
  <c r="BA46" i="3"/>
  <c r="AR46" i="3"/>
  <c r="BW46" i="3"/>
  <c r="AK47" i="3"/>
  <c r="BB47" i="3"/>
  <c r="BH47" i="3"/>
  <c r="BN47" i="3"/>
  <c r="BA47" i="3"/>
  <c r="AR47" i="3"/>
  <c r="BW47" i="3"/>
  <c r="AK48" i="3"/>
  <c r="BB48" i="3"/>
  <c r="BH48"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AY56" i="3"/>
  <c r="AY57" i="3"/>
  <c r="BG53" i="3"/>
  <c r="BG56" i="3" a="1"/>
  <c r="BG56" i="3"/>
  <c r="BC56" i="3"/>
  <c r="BF53" i="3"/>
  <c r="BF57" i="3" a="1"/>
  <c r="BF57" i="3"/>
  <c r="BC57" i="3"/>
  <c r="BB54" i="3"/>
  <c r="BI54" i="3"/>
  <c r="BI55" i="3"/>
  <c r="BM56" i="3"/>
  <c r="BI56" i="3"/>
  <c r="BL57" i="3"/>
  <c r="BI57" i="3"/>
  <c r="BH54" i="3"/>
  <c r="BO54" i="3"/>
  <c r="BO55" i="3"/>
  <c r="BS53" i="3"/>
  <c r="BS56" i="3" a="1"/>
  <c r="BS56" i="3"/>
  <c r="BO56" i="3"/>
  <c r="BR53" i="3"/>
  <c r="BR57" i="3" a="1"/>
  <c r="BR57"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AY64" i="3"/>
  <c r="AY65" i="3"/>
  <c r="BG61" i="3"/>
  <c r="BG64" i="3" a="1"/>
  <c r="BG64" i="3"/>
  <c r="BC64" i="3"/>
  <c r="BF61" i="3"/>
  <c r="BF65" i="3" a="1"/>
  <c r="BF65" i="3"/>
  <c r="BC65" i="3"/>
  <c r="BB62" i="3"/>
  <c r="BI62" i="3"/>
  <c r="BI63" i="3"/>
  <c r="BM64" i="3"/>
  <c r="BI64" i="3"/>
  <c r="BL65" i="3"/>
  <c r="BI65" i="3"/>
  <c r="BH62" i="3"/>
  <c r="BO62" i="3"/>
  <c r="BO63" i="3"/>
  <c r="BS61" i="3"/>
  <c r="BS64" i="3" a="1"/>
  <c r="BS64" i="3"/>
  <c r="BO64" i="3"/>
  <c r="BR61" i="3"/>
  <c r="BR65" i="3" a="1"/>
  <c r="BR65"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BF39" i="3" a="1"/>
  <c r="BF39" i="3"/>
  <c r="BG39" i="3" a="1"/>
  <c r="BG39" i="3"/>
  <c r="BG40" i="3" a="1"/>
  <c r="BG40" i="3"/>
  <c r="BD40" i="3" a="1"/>
  <c r="BD40" i="3"/>
  <c r="BE40" i="3" a="1"/>
  <c r="BE40" i="3"/>
  <c r="BE41" i="3" a="1"/>
  <c r="BE41" i="3"/>
  <c r="BF41" i="3" a="1"/>
  <c r="BF41" i="3"/>
  <c r="BL38" i="3"/>
  <c r="BL39" i="3"/>
  <c r="BM39" i="3"/>
  <c r="BM40" i="3"/>
  <c r="BJ40" i="3"/>
  <c r="BK40" i="3"/>
  <c r="BK41" i="3"/>
  <c r="BL41" i="3"/>
  <c r="BR37" i="3"/>
  <c r="BR38" i="3" a="1"/>
  <c r="BR38" i="3"/>
  <c r="BR39" i="3" a="1"/>
  <c r="BR39" i="3"/>
  <c r="BS39" i="3" a="1"/>
  <c r="BS39" i="3"/>
  <c r="BS40" i="3" a="1"/>
  <c r="BS40" i="3"/>
  <c r="BP40" i="3" a="1"/>
  <c r="BP40" i="3"/>
  <c r="BQ40" i="3" a="1"/>
  <c r="BQ40"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6" i="3" a="1"/>
  <c r="BG46" i="3"/>
  <c r="BF47" i="3" a="1"/>
  <c r="BF47" i="3"/>
  <c r="BG47" i="3" a="1"/>
  <c r="BG47" i="3"/>
  <c r="BD48" i="3" a="1"/>
  <c r="BD48" i="3"/>
  <c r="BE48" i="3" a="1"/>
  <c r="BE48" i="3"/>
  <c r="BD49" i="3" a="1"/>
  <c r="BD49" i="3"/>
  <c r="BE49" i="3" a="1"/>
  <c r="BE49" i="3"/>
  <c r="BL46" i="3"/>
  <c r="BM46" i="3"/>
  <c r="BL47" i="3"/>
  <c r="BM47" i="3"/>
  <c r="BJ48" i="3"/>
  <c r="BK48" i="3"/>
  <c r="BJ49" i="3"/>
  <c r="BK49" i="3"/>
  <c r="BR46" i="3" a="1"/>
  <c r="BR46" i="3"/>
  <c r="BS46" i="3" a="1"/>
  <c r="BS46" i="3"/>
  <c r="BR47" i="3" a="1"/>
  <c r="BR47" i="3"/>
  <c r="BS47" i="3" a="1"/>
  <c r="BS47" i="3"/>
  <c r="BP48" i="3" a="1"/>
  <c r="BP48" i="3"/>
  <c r="BQ48" i="3" a="1"/>
  <c r="BQ48" i="3"/>
  <c r="BP49" i="3" a="1"/>
  <c r="BP49" i="3"/>
  <c r="BQ49" i="3" a="1"/>
  <c r="BQ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BE30" i="3" a="1"/>
  <c r="BE30" i="3"/>
  <c r="BF30" i="3" a="1"/>
  <c r="BF30" i="3"/>
  <c r="BG31" i="3" a="1"/>
  <c r="BG31" i="3"/>
  <c r="BD31" i="3" a="1"/>
  <c r="BD31" i="3"/>
  <c r="BG32" i="3" a="1"/>
  <c r="BG32" i="3"/>
  <c r="BD32" i="3" a="1"/>
  <c r="BD32" i="3"/>
  <c r="BE33" i="3" a="1"/>
  <c r="BE33" i="3"/>
  <c r="BF33" i="3" a="1"/>
  <c r="BF33" i="3"/>
  <c r="BK30" i="3"/>
  <c r="BL30" i="3"/>
  <c r="BM31" i="3"/>
  <c r="BJ31" i="3"/>
  <c r="BM32" i="3"/>
  <c r="BJ32" i="3"/>
  <c r="BK33" i="3"/>
  <c r="BL33" i="3"/>
  <c r="BQ30" i="3" a="1"/>
  <c r="BQ30" i="3"/>
  <c r="BR30" i="3" a="1"/>
  <c r="BR30" i="3"/>
  <c r="BS31" i="3" a="1"/>
  <c r="BS31" i="3"/>
  <c r="BP31" i="3" a="1"/>
  <c r="BP31" i="3"/>
  <c r="BS32" i="3" a="1"/>
  <c r="BS32" i="3"/>
  <c r="BP32" i="3" a="1"/>
  <c r="BP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BF62" i="3" a="1"/>
  <c r="BF62" i="3"/>
  <c r="BG62" i="3" a="1"/>
  <c r="BG62" i="3"/>
  <c r="BF63" i="3" a="1"/>
  <c r="BF63" i="3"/>
  <c r="BG63" i="3" a="1"/>
  <c r="BG63" i="3"/>
  <c r="BD64" i="3" a="1"/>
  <c r="BD64" i="3"/>
  <c r="BE64" i="3" a="1"/>
  <c r="BE64" i="3"/>
  <c r="BD65" i="3" a="1"/>
  <c r="BD65" i="3"/>
  <c r="BE65" i="3" a="1"/>
  <c r="BE65" i="3"/>
  <c r="BL62" i="3"/>
  <c r="BM62" i="3"/>
  <c r="BL63" i="3"/>
  <c r="BM63" i="3"/>
  <c r="BJ64" i="3"/>
  <c r="BK64" i="3"/>
  <c r="BJ65" i="3"/>
  <c r="BK65" i="3"/>
  <c r="BR62" i="3" a="1"/>
  <c r="BR62" i="3"/>
  <c r="BS62" i="3" a="1"/>
  <c r="BS62" i="3"/>
  <c r="BR63" i="3" a="1"/>
  <c r="BR63" i="3"/>
  <c r="BS63" i="3" a="1"/>
  <c r="BS63" i="3"/>
  <c r="BP64" i="3" a="1"/>
  <c r="BP64" i="3"/>
  <c r="BQ64" i="3" a="1"/>
  <c r="BQ64" i="3"/>
  <c r="BP65" i="3" a="1"/>
  <c r="BP65" i="3"/>
  <c r="BQ65" i="3" a="1"/>
  <c r="BQ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BG54" i="3" a="1"/>
  <c r="BG54" i="3"/>
  <c r="BF54" i="3" a="1"/>
  <c r="BF54" i="3"/>
  <c r="BF55" i="3" a="1"/>
  <c r="BF55" i="3"/>
  <c r="BG55" i="3" a="1"/>
  <c r="BG55" i="3"/>
  <c r="BE56" i="3" a="1"/>
  <c r="BE56" i="3"/>
  <c r="BD56" i="3" a="1"/>
  <c r="BD56" i="3"/>
  <c r="BD57" i="3" a="1"/>
  <c r="BD57" i="3"/>
  <c r="BE57" i="3" a="1"/>
  <c r="BE57" i="3"/>
  <c r="BM54" i="3"/>
  <c r="BL54" i="3"/>
  <c r="BL55" i="3"/>
  <c r="BM55" i="3"/>
  <c r="BK56" i="3"/>
  <c r="BJ56" i="3"/>
  <c r="BJ57" i="3"/>
  <c r="BK57" i="3"/>
  <c r="BS54" i="3" a="1"/>
  <c r="BS54" i="3"/>
  <c r="BR54" i="3" a="1"/>
  <c r="BR54" i="3"/>
  <c r="BR55" i="3" a="1"/>
  <c r="BR55" i="3"/>
  <c r="BS55" i="3" a="1"/>
  <c r="BS55" i="3"/>
  <c r="BQ56" i="3" a="1"/>
  <c r="BQ56" i="3"/>
  <c r="BP56" i="3" a="1"/>
  <c r="BP56" i="3"/>
  <c r="BP57" i="3" a="1"/>
  <c r="BP57" i="3"/>
  <c r="BQ57" i="3" a="1"/>
  <c r="BQ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<sst xmlns="http://schemas.openxmlformats.org/spreadsheetml/2006/main" count="1360" uniqueCount="377">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</sst>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topLeftCell="A7"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6" zoomScaleNormal="100" workbookViewId="0">
      <selection activeCell="AC6" sqref="AC6"/>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874"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7" t="s">
        <v>199</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44886.791666666664</v>
      </c>
      <c r="G4" s="33">
        <f>Horarios!C4</f>
        <v>44886.791666666664</v>
      </c>
      <c r="H4" s="32" t="s">
        <v>72</v>
      </c>
      <c r="I4" s="34" t="str">
        <f ca="1">A7</f>
        <v>Senegal</v>
      </c>
      <c r="J4" s="434" t="str">
        <f ca="1">VLOOKUP(I4,Equipos!$H$2:$I$33,2,0)</f>
        <v>🇸🇳</v>
      </c>
      <c r="K4" s="35">
        <v>1</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72</v>
      </c>
      <c r="I5" s="19" t="str">
        <f ca="1">A5</f>
        <v>Catar</v>
      </c>
      <c r="J5" s="435" t="str">
        <f ca="1">VLOOKUP(I5,Equipos!$H$2:$I$33,2,0)</f>
        <v>🇶🇦</v>
      </c>
      <c r="K5" s="20">
        <v>2</v>
      </c>
      <c r="L5" s="20">
        <v>1</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73</v>
      </c>
      <c r="I6" s="19" t="str">
        <f ca="1">A5</f>
        <v>Catar</v>
      </c>
      <c r="J6" s="435" t="str">
        <f ca="1">VLOOKUP(I6,Equipos!$H$2:$I$33,2,0)</f>
        <v>🇶🇦</v>
      </c>
      <c r="K6" s="20">
        <v>2</v>
      </c>
      <c r="L6" s="20">
        <v>1</v>
      </c>
      <c r="M6" s="438" t="str">
        <f ca="1">VLOOKUP(N6,Equipos!$H$2:$I$33,2,0)</f>
        <v>🇸🇳</v>
      </c>
      <c r="N6" s="37" t="str">
        <f ca="1">A7</f>
        <v>Senegal</v>
      </c>
      <c r="O6" s="385">
        <f t="shared" si="1"/>
        <v>1</v>
      </c>
      <c r="P6" s="88"/>
      <c r="Q6" s="105">
        <v>1</v>
      </c>
      <c r="R6" s="106" t="str">
        <f ca="1">VLOOKUP(Q6,$AG$6:$AI$9,3,0)</f>
        <v>Catar</v>
      </c>
      <c r="S6" s="107">
        <f ca="1">VLOOKUP(R6,$AI$6:$AR$9,2,FALSE)</f>
        <v>9</v>
      </c>
      <c r="T6" s="107">
        <f ca="1">VLOOKUP($R6,$AI$6:$AR$9,3,FALSE)</f>
        <v>3</v>
      </c>
      <c r="U6" s="107">
        <f ca="1">VLOOKUP($R6,$AI$6:$AR$9,4,FALSE)</f>
        <v>3</v>
      </c>
      <c r="V6" s="107">
        <f ca="1">VLOOKUP($R6,$AI$6:$AR$9,5,FALSE)</f>
        <v>0</v>
      </c>
      <c r="W6" s="107">
        <f ca="1">VLOOKUP($R6,$AI$6:$AR$9,6,FALSE)</f>
        <v>0</v>
      </c>
      <c r="X6" s="107">
        <f ca="1">VLOOKUP($R6,$AI$6:$AR$9,7,FALSE)</f>
        <v>7</v>
      </c>
      <c r="Y6" s="107">
        <f ca="1">VLOOKUP($R6,$AI$6:$AR$9,8,FALSE)</f>
        <v>2</v>
      </c>
      <c r="Z6" s="108">
        <f ca="1">VLOOKUP($R6,$AI$6:$AR$9,9,FALSE)</f>
        <v>5</v>
      </c>
      <c r="AA6" s="395">
        <f ca="1">IF(SUM($AK$6:$AK$9)=12,MIN(ABS(BY5-BY6),ABS(BY6-BY7)),100)</f>
        <v>3360000000.0299997</v>
      </c>
      <c r="AB6" s="101" t="str">
        <f ca="1">IF(AND(AA6&gt;=0,AA6&lt;90),VLOOKUP(Q6,$BU$6:$BV$9,2,0),"")</f>
        <v/>
      </c>
      <c r="AC6" s="78"/>
      <c r="AD6" s="79"/>
      <c r="AE6" s="365"/>
      <c r="AF6" s="828">
        <f ca="1">VLOOKUP($R6,$AI$6:$AR$9,10,FALSE)</f>
        <v>10031210499.99</v>
      </c>
      <c r="AG6" s="827">
        <f ca="1">RANK(AU6,$AU$6:$AU$9)</f>
        <v>1</v>
      </c>
      <c r="AH6" s="827">
        <f ca="1">RANK(AR6,$AR$6:$AR$9)</f>
        <v>1</v>
      </c>
      <c r="AI6" s="829" t="str">
        <f ca="1">A5</f>
        <v>Catar</v>
      </c>
      <c r="AJ6" s="827">
        <f ca="1">AL6*3+AM6*1+AN6*0</f>
        <v>9</v>
      </c>
      <c r="AK6" s="827">
        <f ca="1">COUNTIFS($I$4:$I$65,AI6,$K$4:$K$65,"&lt;&gt;",$L$4:$L$65,"&lt;&gt;")+COUNTIFS($N$4:$N$65,AI6,$L$4:$L$65,"&lt;&gt;",$K$4:$K$65,"&lt;&gt;")</f>
        <v>3</v>
      </c>
      <c r="AL6" s="827">
        <f t="array" aca="1" ref="AL6" ca="1">SUM(($I$4:$I$65=AI6)*($K$4:$K$65&lt;&gt;"")*($L$4:$L$65&lt;&gt;"")*($K$4:$K$65&gt;$L$4:$L$65),($N$4:$N$65=AI6)*($K$4:$K$65&lt;&gt;"")*($L$4:$L$65&lt;&gt;"")*($K$4:$K$65&lt;$L$4:$L$65))</f>
        <v>3</v>
      </c>
      <c r="AM6" s="827">
        <f t="array" aca="1" ref="AM6" ca="1">SUM(($I$4:$I$65=AI6)*($K$4:$K$65&lt;&gt;"")*($L$4:$L$65&lt;&gt;"")*($K$4:$K$65=$L$4:$L$65),($N$4:$N$65=AI6)*($K$4:$K$65&lt;&gt;"")*($L$4:$L$65&lt;&gt;"")*($K$4:$K$65=$L$4:$L$65))</f>
        <v>0</v>
      </c>
      <c r="AN6" s="827">
        <f t="array" aca="1" ref="AN6" ca="1">SUM(($I$4:$I$65=AI6)*($L$4:$L$65&lt;&gt;"")*($K$4:$K$65&lt;&gt;"")*($K$4:$K$65&lt;$L$4:$L$65),($K$4:$K$65&lt;&gt;"")*($N$4:$N$65=AI6)*($L$4:$L$65&lt;&gt;"")*($K$4:$K$65&gt;$L$4:$L$65))</f>
        <v>0</v>
      </c>
      <c r="AO6" s="827">
        <f t="array" aca="1" ref="AO6" ca="1">SUMIFS($K$4:$K$65,$I$4:$I$65,AI6,$K$4:$K$65,"&lt;&gt;",$L$4:$L$65,"&lt;&gt;")+SUMIFS($L$4:$L$65,$N$4:$N$65,AI6,$K$4:$K$65,"&lt;&gt;",$L$4:$L$65,"&lt;&gt;")</f>
        <v>7</v>
      </c>
      <c r="AP6" s="827">
        <f t="array" aca="1" ref="AP6" ca="1">SUMIFS($K$4:$K$65,$N$4:$N$65,AI6,$K$4:$K$65,"&lt;&gt;",$L$4:$L$65,"&lt;&gt;")+SUMIFS($L$4:$L$65,$I$4:$I$65,AI6,$K$4:$K$65,"&lt;&gt;",$L$4:$L$65,"&lt;&gt;")</f>
        <v>2</v>
      </c>
      <c r="AQ6" s="827">
        <f ca="1">AO6-AP6</f>
        <v>5</v>
      </c>
      <c r="AR6" s="827">
        <f ca="1">IF(AK6=0,-($AW$11*VLOOKUP(AI6,Tabla3[[NombreEquipo]:[Rank]],3,FALSE)),AJ6*$AW$4+AQ6*$AW$5+AO6*$AW$6+BA6-($AW$11*VLOOKUP(AI6,Tabla3[[NombreEquipo]:[Rank]],3,FALSE)/100))</f>
        <v>10031210499.99</v>
      </c>
      <c r="AS6" s="827">
        <f ca="1">AH6</f>
        <v>1</v>
      </c>
      <c r="AT6" s="827"/>
      <c r="AU6" s="827">
        <f ca="1">IFERROR(AR6-VLOOKUP(AI6,$AB$6:$AC$9,2,0),AR6)</f>
        <v>10031210499.99</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2</v>
      </c>
      <c r="BF6" s="835">
        <f t="array" aca="1" ref="BF6" ca="1">SUMIFS($K$4:$K$9,$I$4:$I$9,$AY6,$K$4:$K$9,"&lt;&gt;",$L$4:$L$9,"&lt;&gt;",$N$4:$N$9,BF5)+SUMIFS($L$4:$L$9,$I$4:$I$9,BF5,$K$4:$K$9,"&lt;&gt;",$L$4:$L$9,"&lt;&gt;",$N$4:$N$9,$AY6)</f>
        <v>2</v>
      </c>
      <c r="BG6" s="835">
        <f t="array" aca="1" ref="BG6" ca="1">SUMIFS($K$4:$K$9,$I$4:$I$9,$AY6,$K$4:$K$9,"&lt;&gt;",$L$4:$L$9,"&lt;&gt;",$N$4:$N$9,BG5)+SUMIFS($L$4:$L$9,$I$4:$I$9,BG5,$K$4:$K$9,"&lt;&gt;",$L$4:$L$9,"&lt;&gt;",$N$4:$N$9,$AY6)</f>
        <v>3</v>
      </c>
      <c r="BH6" s="835">
        <f ca="1">RANK(BI6,BI6:BI9,1)</f>
        <v>1</v>
      </c>
      <c r="BI6" s="835">
        <f ca="1">SUM(IF(AND(AJ6=AJ7,AQ6=AQ7,AO6=AO7),BK6,0),IF(AND(AJ6=AJ8,AQ6=AQ8,AO6=AO8),BL6,0),IF(AND(AJ6=AJ9,AQ6=AQ9,AO6=AO9),BM6,0))</f>
        <v>0</v>
      </c>
      <c r="BJ6" s="835">
        <v>0</v>
      </c>
      <c r="BK6" s="835">
        <f ca="1">BE6-BD7</f>
        <v>1</v>
      </c>
      <c r="BL6" s="835">
        <f ca="1">BF6-BD8</f>
        <v>1</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3</v>
      </c>
      <c r="BR6" s="835">
        <f t="array" aca="1" ref="BR6" ca="1">SUM((I$4:I$49=AY6)*(N$4:N$49=BR5)*(K$4:K$49&lt;&gt;"")*(L$4:L$49&lt;&gt;"")*(K$4:K$49&gt;L$4:L$49)*3,(N$4:N$49=AY6)*(I$4:I$49=BR5)*(K$4:K$49&lt;&gt;"")*(L$4:L$49&lt;&gt;"")*(K$4:K$49=L$4:L$49)*1,(N$4:N$49=AY6)*(I$4:I$49=BR5)*(K$4:K$49&lt;&gt;"")*(L$4:L$49&lt;&gt;"")*(K$4:K$49&lt;L$4:L$49)*3,(I$4:I$49=AY6)*(N$4:N$49=BR5)*(K$4:K$49&lt;&gt;"")*(L$4:L$49&lt;&gt;"")*(K$4:K$49=L$4:L$49)*1)</f>
        <v>3</v>
      </c>
      <c r="BS6" s="835">
        <f t="array" aca="1" ref="BS6" ca="1">SUM((I$4:I$49=AY6)*(N$4:N$49=BS5)*(K$4:K$49&lt;&gt;"")*(L$4:L$49&lt;&gt;"")*(K$4:K$49&gt;L$4:L$49)*3,(N$4:N$49=AY6)*(I$4:I$49=BS5)*(K$4:K$49&lt;&gt;"")*(L$4:L$49&lt;&gt;"")*(K$4:K$49=L$4:L$49)*1,(N$4:N$49=AY6)*(I$4:I$49=BS5)*(K$4:K$49&lt;&gt;"")*(L$4:L$49&lt;&gt;"")*(K$4:K$49&lt;L$4:L$49)*3,(I$4:I$49=AY6)*(N$4:N$49=BS5)*(K$4:K$49&lt;&gt;"")*(L$4:L$49&lt;&gt;"")*(K$4:K$49=L$4:L$49)*1)</f>
        <v>3</v>
      </c>
      <c r="BT6" s="829">
        <v>1</v>
      </c>
      <c r="BU6" s="829">
        <f ca="1">RANK(BW6,$BW$6:$BW$9)</f>
        <v>1</v>
      </c>
      <c r="BV6" s="829" t="str">
        <f ca="1">A5</f>
        <v>Catar</v>
      </c>
      <c r="BW6" s="829">
        <f ca="1">AR6</f>
        <v>10031210499.99</v>
      </c>
      <c r="BX6" s="829" t="str">
        <f ca="1">VLOOKUP(Q6,$AH$6:$AI$9,2,0)</f>
        <v>Catar</v>
      </c>
      <c r="BY6" s="829">
        <f ca="1">VLOOKUP($BX6,$AI$6:$AR$9,10,FALSE)</f>
        <v>10031210499.99</v>
      </c>
      <c r="CA6" s="829">
        <v>1</v>
      </c>
      <c r="CB6" s="829" t="str">
        <f ca="1">VLOOKUP(CA6,$AH$6:$AI$9,2,0)</f>
        <v>Catar</v>
      </c>
      <c r="CC6" s="829">
        <f ca="1">VLOOKUP(CB6,$AI$6:$AR$9,2,FALSE)</f>
        <v>9</v>
      </c>
      <c r="CD6" s="836">
        <f ca="1">IF(SUM($AK$6:$AK$9)=12,MIN(ABS(BY5-BY6),ABS(BY6-BY7)),100)</f>
        <v>3360000000.0299997</v>
      </c>
      <c r="CE6" s="829">
        <f ca="1">VLOOKUP($CB6,$AI$6:$AR$9,9,FALSE)</f>
        <v>5</v>
      </c>
      <c r="CF6" s="829">
        <f ca="1">VLOOKUP($CB6,$AI$6:$AR$9,7,FALSE)</f>
        <v>7</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73</v>
      </c>
      <c r="I7" s="19" t="str">
        <f ca="1">A8</f>
        <v>Paises Bajos</v>
      </c>
      <c r="J7" s="435" t="str">
        <f ca="1">VLOOKUP(I7,Equipos!$H$2:$I$33,2,0)</f>
        <v>🇳🇱</v>
      </c>
      <c r="K7" s="20">
        <v>3</v>
      </c>
      <c r="L7" s="20">
        <v>1</v>
      </c>
      <c r="M7" s="438" t="str">
        <f ca="1">VLOOKUP(N7,Equipos!$H$2:$I$33,2,0)</f>
        <v>🇪🇨</v>
      </c>
      <c r="N7" s="37" t="str">
        <f ca="1">A6</f>
        <v>Ecuador</v>
      </c>
      <c r="O7" s="385">
        <f t="shared" si="1"/>
        <v>1</v>
      </c>
      <c r="P7" s="88"/>
      <c r="Q7" s="109">
        <v>2</v>
      </c>
      <c r="R7" s="4" t="str">
        <f ca="1">VLOOKUP(Q7,$AG$6:$AI$9,3,0)</f>
        <v>Paises Bajos</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5</v>
      </c>
      <c r="Z7" s="110">
        <f ca="1">VLOOKUP($R7,$AI$6:$AR$9,9,FALSE)</f>
        <v>0</v>
      </c>
      <c r="AA7" s="395">
        <f ca="1">IF(SUM($AK$6:$AK$9)=12,MIN(ABS(BY6-BY7),ABS(BY7-BY8)),100)</f>
        <v>3338999999.98</v>
      </c>
      <c r="AB7" s="101" t="str">
        <f ca="1">IF(AND(AA7&gt;=0,AA7&lt;90),VLOOKUP(Q7,$BU$6:$BV$9,2,0),"")</f>
        <v/>
      </c>
      <c r="AC7" s="78"/>
      <c r="AD7" s="79"/>
      <c r="AE7" s="365"/>
      <c r="AF7" s="828">
        <f ca="1">VLOOKUP($R7,$AI$6:$AR$9,10,FALSE)</f>
        <v>6671210499.96</v>
      </c>
      <c r="AG7" s="827">
        <f ca="1">RANK(AU7,$AU$6:$AU$9)</f>
        <v>3</v>
      </c>
      <c r="AH7" s="827">
        <f ca="1">RANK(AR7,$AR$6:$AR$9)</f>
        <v>3</v>
      </c>
      <c r="AI7" s="829" t="str">
        <f ca="1">A6</f>
        <v>Ecuador</v>
      </c>
      <c r="AJ7" s="827">
        <f ca="1">AL7*3+AM7*1+AN7*0</f>
        <v>3</v>
      </c>
      <c r="AK7" s="827">
        <f ca="1">COUNTIFS($I$4:$I$65,AI7,$K$4:$K$65,"&lt;&gt;",$L$4:$L$65,"&lt;&gt;")+COUNTIFS($N$4:$N$65,AI7,$L$4:$L$65,"&lt;&gt;",$K$4:$K$65,"&lt;&gt;")</f>
        <v>3</v>
      </c>
      <c r="AL7" s="827">
        <f t="array" aca="1" ref="AL7" ca="1">SUM(($I$4:$I$65=AI7)*($K$4:$K$65&lt;&gt;"")*($L$4:$L$65&lt;&gt;"")*($K$4:$K$65&gt;$L$4:$L$65),($N$4:$N$65=AI7)*($K$4:$K$65&lt;&gt;"")*($L$4:$L$65&lt;&gt;"")*($K$4:$K$65&lt;$L$4:$L$65))</f>
        <v>1</v>
      </c>
      <c r="AM7" s="827">
        <f t="array" aca="1" ref="AM7" ca="1">SUM(($I$4:$I$65=AI7)*($K$4:$K$65&lt;&gt;"")*($L$4:$L$65&lt;&gt;"")*($K$4:$K$65=$L$4:$L$65),($N$4:$N$65=AI7)*($K$4:$K$65&lt;&gt;"")*($L$4:$L$65&lt;&gt;"")*($K$4:$K$65=$L$4:$L$65))</f>
        <v>0</v>
      </c>
      <c r="AN7" s="827">
        <f t="array" aca="1" ref="AN7" ca="1">SUM(($I$4:$I$65=AI7)*($L$4:$L$65&lt;&gt;"")*($K$4:$K$65&lt;&gt;"")*($K$4:$K$65&lt;$L$4:$L$65),($K$4:$K$65&lt;&gt;"")*($N$4:$N$65=AI7)*($L$4:$L$65&lt;&gt;"")*($K$4:$K$65&gt;$L$4:$L$65))</f>
        <v>2</v>
      </c>
      <c r="AO7" s="827">
        <f t="array" aca="1" ref="AO7" ca="1">SUMIFS($K$4:$K$65,$I$4:$I$65,AI7,$K$4:$K$65,"&lt;&gt;",$L$4:$L$65,"&lt;&gt;")+SUMIFS($L$4:$L$65,$N$4:$N$65,AI7,$K$4:$K$65,"&lt;&gt;",$L$4:$L$65,"&lt;&gt;")</f>
        <v>4</v>
      </c>
      <c r="AP7" s="827">
        <f t="array" aca="1" ref="AP7" ca="1">SUMIFS($K$4:$K$65,$N$4:$N$65,AI7,$K$4:$K$65,"&lt;&gt;",$L$4:$L$65,"&lt;&gt;")+SUMIFS($L$4:$L$65,$I$4:$I$65,AI7,$K$4:$K$65,"&lt;&gt;",$L$4:$L$65,"&lt;&gt;")</f>
        <v>5</v>
      </c>
      <c r="AQ7" s="827">
        <f ca="1">AO7-AP7</f>
        <v>-1</v>
      </c>
      <c r="AR7" s="827">
        <f ca="1">IF(AK7=0,-($AW$11*VLOOKUP(AI7,Tabla3[[NombreEquipo]:[Rank]],3,FALSE)),AJ7*$AW$4+AQ7*$AW$5+AO7*$AW$6+BA7-($AW$11*VLOOKUP(AI7,Tabla3[[NombreEquipo]:[Rank]],3,FALSE)/100))</f>
        <v>3332210499.98</v>
      </c>
      <c r="AS7" s="827">
        <f ca="1">AH7</f>
        <v>3</v>
      </c>
      <c r="AT7" s="827"/>
      <c r="AU7" s="827">
        <f ca="1">IFERROR(AR7-VLOOKUP(AI7,$AB$6:$AC$9,2,0),AR7)</f>
        <v>3332210499.98</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2</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-1</v>
      </c>
      <c r="BK7" s="835">
        <v>0</v>
      </c>
      <c r="BL7" s="835">
        <f ca="1">BF7-BE8</f>
        <v>2</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0</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3332210499.98</v>
      </c>
      <c r="BX7" s="829" t="str">
        <f ca="1">VLOOKUP(Q7,$AH$6:$AI$9,2,0)</f>
        <v>Paises Bajos</v>
      </c>
      <c r="BY7" s="829">
        <f ca="1">VLOOKUP($BX7,$AI$6:$AR$9,10,FALSE)</f>
        <v>6671210499.96</v>
      </c>
      <c r="CA7" s="829">
        <v>2</v>
      </c>
      <c r="CB7" s="829" t="str">
        <f ca="1">VLOOKUP(CA7,$AH$6:$AI$9,2,0)</f>
        <v>Paises Bajos</v>
      </c>
      <c r="CC7" s="829">
        <f ca="1">VLOOKUP(CB7,$AI$6:$AR$9,2,FALSE)</f>
        <v>6</v>
      </c>
      <c r="CD7" s="836">
        <f ca="1">IF(SUM($AK$6:$AK$9)=12,MIN(ABS(BY6-BY7),ABS(BY7-BY8)),100)</f>
        <v>3338999999.98</v>
      </c>
      <c r="CE7" s="829">
        <f ca="1">VLOOKUP($CB7,$AI$6:$AR$9,9,FALSE)</f>
        <v>0</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74</v>
      </c>
      <c r="I8" s="19" t="str">
        <f ca="1">A6</f>
        <v>Ecuador</v>
      </c>
      <c r="J8" s="435" t="str">
        <f ca="1">VLOOKUP(I8,Equipos!$H$2:$I$33,2,0)</f>
        <v>🇪🇨</v>
      </c>
      <c r="K8" s="20">
        <v>2</v>
      </c>
      <c r="L8" s="20">
        <v>0</v>
      </c>
      <c r="M8" s="438" t="str">
        <f ca="1">VLOOKUP(N8,Equipos!$H$2:$I$33,2,0)</f>
        <v>🇸🇳</v>
      </c>
      <c r="N8" s="37" t="str">
        <f ca="1">A7</f>
        <v>Senegal</v>
      </c>
      <c r="O8" s="385">
        <f t="shared" si="1"/>
        <v>1</v>
      </c>
      <c r="P8" s="88"/>
      <c r="Q8" s="109">
        <v>3</v>
      </c>
      <c r="R8" s="4" t="str">
        <f ca="1">VLOOKUP(Q8,$AG$6:$AI$9,3,0)</f>
        <v>Ecuador</v>
      </c>
      <c r="S8" s="3">
        <f ca="1">VLOOKUP(R8,$AI$6:$AR$9,2,FALSE)</f>
        <v>3</v>
      </c>
      <c r="T8" s="3">
        <f ca="1">VLOOKUP($R8,$AI$6:$AR$9,3,FALSE)</f>
        <v>3</v>
      </c>
      <c r="U8" s="3">
        <f ca="1">VLOOKUP($R8,$AI$6:$AR$9,4,FALSE)</f>
        <v>1</v>
      </c>
      <c r="V8" s="3">
        <f ca="1">VLOOKUP($R8,$AI$6:$AR$9,5,FALSE)</f>
        <v>0</v>
      </c>
      <c r="W8" s="3">
        <f ca="1">VLOOKUP($R8,$AI$6:$AR$9,6,FALSE)</f>
        <v>2</v>
      </c>
      <c r="X8" s="3">
        <f ca="1">VLOOKUP($R8,$AI$6:$AR$9,7,FALSE)</f>
        <v>4</v>
      </c>
      <c r="Y8" s="3">
        <f ca="1">VLOOKUP($R8,$AI$6:$AR$9,8,FALSE)</f>
        <v>5</v>
      </c>
      <c r="Z8" s="110">
        <f ca="1">VLOOKUP($R8,$AI$6:$AR$9,9,FALSE)</f>
        <v>-1</v>
      </c>
      <c r="AA8" s="395">
        <f ca="1">IF(SUM($AK$6:$AK$9)=12,MIN(ABS(BY7-BY8),ABS(BY8-BY9)),100)</f>
        <v>3338999999.98</v>
      </c>
      <c r="AB8" s="101" t="str">
        <f ca="1">IF(AND(AA8&gt;=0,AA8&lt;90),VLOOKUP(Q8,$BU$6:$BV$9,2,0),"")</f>
        <v/>
      </c>
      <c r="AC8" s="78"/>
      <c r="AD8" s="79"/>
      <c r="AE8" s="365"/>
      <c r="AF8" s="828">
        <f ca="1">VLOOKUP($R8,$AI$6:$AR$9,10,FALSE)</f>
        <v>3332210499.98</v>
      </c>
      <c r="AG8" s="827">
        <f ca="1">RANK(AU8,$AU$6:$AU$9)</f>
        <v>4</v>
      </c>
      <c r="AH8" s="827">
        <f ca="1">RANK(AR8,$AR$6:$AR$9)</f>
        <v>4</v>
      </c>
      <c r="AI8" s="829" t="str">
        <f ca="1">A7</f>
        <v>Senegal</v>
      </c>
      <c r="AJ8" s="827">
        <f ca="1">AL8*3+AM8*1+AN8*0</f>
        <v>0</v>
      </c>
      <c r="AK8" s="827">
        <f ca="1">COUNTIFS($I$4:$I$65,AI8,$K$4:$K$65,"&lt;&gt;",$L$4:$L$65,"&lt;&gt;")+COUNTIFS($N$4:$N$65,AI8,$L$4:$L$65,"&lt;&gt;",$K$4:$K$65,"&lt;&gt;")</f>
        <v>3</v>
      </c>
      <c r="AL8" s="827">
        <f t="array" aca="1" ref="AL8" ca="1">SUM(($I$4:$I$65=AI8)*($K$4:$K$65&lt;&gt;"")*($L$4:$L$65&lt;&gt;"")*($K$4:$K$65&gt;$L$4:$L$65),($N$4:$N$65=AI8)*($K$4:$K$65&lt;&gt;"")*($L$4:$L$65&lt;&gt;"")*($K$4:$K$65&lt;$L$4:$L$65))</f>
        <v>0</v>
      </c>
      <c r="AM8" s="827">
        <f t="array" aca="1" ref="AM8" ca="1">SUM(($I$4:$I$65=AI8)*($K$4:$K$65&lt;&gt;"")*($L$4:$L$65&lt;&gt;"")*($K$4:$K$65=$L$4:$L$65),($N$4:$N$65=AI8)*($K$4:$K$65&lt;&gt;"")*($L$4:$L$65&lt;&gt;"")*($K$4:$K$65=$L$4:$L$65))</f>
        <v>0</v>
      </c>
      <c r="AN8" s="827">
        <f t="array" aca="1" ref="AN8" ca="1">SUM(($I$4:$I$65=AI8)*($L$4:$L$65&lt;&gt;"")*($K$4:$K$65&lt;&gt;"")*($K$4:$K$65&lt;$L$4:$L$65),($K$4:$K$65&lt;&gt;"")*($N$4:$N$65=AI8)*($L$4:$L$65&lt;&gt;"")*($K$4:$K$65&gt;$L$4:$L$65))</f>
        <v>3</v>
      </c>
      <c r="AO8" s="827">
        <f t="array" aca="1" ref="AO8" ca="1">SUMIFS($K$4:$K$65,$I$4:$I$65,AI8,$K$4:$K$65,"&lt;&gt;",$L$4:$L$65,"&lt;&gt;")+SUMIFS($L$4:$L$65,$N$4:$N$65,AI8,$K$4:$K$65,"&lt;&gt;",$L$4:$L$65,"&lt;&gt;")</f>
        <v>2</v>
      </c>
      <c r="AP8" s="827">
        <f t="array" aca="1" ref="AP8" ca="1">SUMIFS($K$4:$K$65,$N$4:$N$65,AI8,$K$4:$K$65,"&lt;&gt;",$L$4:$L$65,"&lt;&gt;")+SUMIFS($L$4:$L$65,$I$4:$I$65,AI8,$K$4:$K$65,"&lt;&gt;",$L$4:$L$65,"&lt;&gt;")</f>
        <v>6</v>
      </c>
      <c r="AQ8" s="827">
        <f ca="1">AO8-AP8</f>
        <v>-4</v>
      </c>
      <c r="AR8" s="827">
        <f ca="1">IF(AK8=0,-($AW$11*VLOOKUP(AI8,Tabla3[[NombreEquipo]:[Rank]],3,FALSE)),AJ8*$AW$4+AQ8*$AW$5+AO8*$AW$6+BA8-($AW$11*VLOOKUP(AI8,Tabla3[[NombreEquipo]:[Rank]],3,FALSE)/100))</f>
        <v>-17789500.030000001</v>
      </c>
      <c r="AS8" s="827">
        <f ca="1">AH8</f>
        <v>4</v>
      </c>
      <c r="AT8" s="827"/>
      <c r="AU8" s="827">
        <f ca="1">IFERROR(AR8-VLOOKUP(AI8,$AB$6:$AC$9,2,0),AR8)</f>
        <v>-17789500.030000001</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1</v>
      </c>
      <c r="BE8" s="835">
        <f t="array" aca="1" ref="BE8" ca="1">SUMIFS($K$4:$K$9,$I$4:$I$9,$AY8,$K$4:$K$9,"&lt;&gt;",$L$4:$L$9,"&lt;&gt;",$N$4:$N$9,BE5)+SUMIFS($L$4:$L$9,$I$4:$I$9,BE5,$K$4:$K$9,"&lt;&gt;",$L$4:$L$9,"&lt;&gt;",$N$4:$N$9,$AY8)</f>
        <v>0</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-1</v>
      </c>
      <c r="BK8" s="835">
        <f ca="1">BE8-BF7</f>
        <v>-2</v>
      </c>
      <c r="BL8" s="835">
        <v>0</v>
      </c>
      <c r="BM8" s="835">
        <f ca="1">BG8-BF9</f>
        <v>-1</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0</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4</v>
      </c>
      <c r="BV8" s="829" t="str">
        <f ca="1">A7</f>
        <v>Senegal</v>
      </c>
      <c r="BW8" s="829">
        <f t="shared" ca="1" si="2"/>
        <v>-17789500.030000001</v>
      </c>
      <c r="BX8" s="829" t="str">
        <f ca="1">VLOOKUP(Q8,$AH$6:$AI$9,2,0)</f>
        <v>Ecuador</v>
      </c>
      <c r="BY8" s="829">
        <f ca="1">VLOOKUP($BX8,$AI$6:$AR$9,10,FALSE)</f>
        <v>3332210499.98</v>
      </c>
      <c r="CA8" s="829">
        <v>3</v>
      </c>
      <c r="CB8" s="829" t="str">
        <f ca="1">VLOOKUP(CA8,$AH$6:$AI$9,2,0)</f>
        <v>Ecuador</v>
      </c>
      <c r="CC8" s="829">
        <f ca="1">VLOOKUP(CB8,$AI$6:$AR$9,2,FALSE)</f>
        <v>3</v>
      </c>
      <c r="CD8" s="836">
        <f ca="1">IF(SUM($AK$6:$AK$9)=12,MIN(ABS(BY7-BY8),ABS(BY8-BY9)),100)</f>
        <v>3338999999.98</v>
      </c>
      <c r="CE8" s="829">
        <f ca="1">VLOOKUP($CB8,$AI$6:$AR$9,9,FALSE)</f>
        <v>-1</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3"/>
      <c r="F9" s="38">
        <f>Horarios!C9</f>
        <v>44894.75</v>
      </c>
      <c r="G9" s="39">
        <f>Horarios!C9</f>
        <v>44894.75</v>
      </c>
      <c r="H9" s="38" t="s">
        <v>74</v>
      </c>
      <c r="I9" s="40" t="str">
        <f ca="1">A8</f>
        <v>Paises Bajos</v>
      </c>
      <c r="J9" s="436" t="str">
        <f ca="1">VLOOKUP(I9,Equipos!$H$2:$I$33,2,0)</f>
        <v>🇳🇱</v>
      </c>
      <c r="K9" s="41">
        <v>0</v>
      </c>
      <c r="L9" s="41">
        <v>3</v>
      </c>
      <c r="M9" s="439" t="str">
        <f ca="1">VLOOKUP(N9,Equipos!$H$2:$I$33,2,0)</f>
        <v>🇶🇦</v>
      </c>
      <c r="N9" s="42" t="str">
        <f ca="1">A5</f>
        <v>Catar</v>
      </c>
      <c r="O9" s="385">
        <f t="shared" si="1"/>
        <v>1</v>
      </c>
      <c r="P9" s="88"/>
      <c r="Q9" s="111">
        <v>4</v>
      </c>
      <c r="R9" s="112" t="str">
        <f ca="1">VLOOKUP(Q9,$AG$6:$AI$9,3,0)</f>
        <v>Senegal</v>
      </c>
      <c r="S9" s="113">
        <f ca="1">VLOOKUP(R9,$AI$6:$AR$9,2,FALSE)</f>
        <v>0</v>
      </c>
      <c r="T9" s="113">
        <f ca="1">VLOOKUP($R9,$AI$6:$AR$9,3,FALSE)</f>
        <v>3</v>
      </c>
      <c r="U9" s="113">
        <f ca="1">VLOOKUP($R9,$AI$6:$AR$9,4,FALSE)</f>
        <v>0</v>
      </c>
      <c r="V9" s="113">
        <f ca="1">VLOOKUP($R9,$AI$6:$AR$9,5,FALSE)</f>
        <v>0</v>
      </c>
      <c r="W9" s="113">
        <f ca="1">VLOOKUP($R9,$AI$6:$AR$9,6,FALSE)</f>
        <v>3</v>
      </c>
      <c r="X9" s="113">
        <f ca="1">VLOOKUP($R9,$AI$6:$AR$9,7,FALSE)</f>
        <v>2</v>
      </c>
      <c r="Y9" s="113">
        <f ca="1">VLOOKUP($R9,$AI$6:$AR$9,8,FALSE)</f>
        <v>6</v>
      </c>
      <c r="Z9" s="114">
        <f ca="1">VLOOKUP($R9,$AI$6:$AR$9,9,FALSE)</f>
        <v>-4</v>
      </c>
      <c r="AA9" s="395">
        <f ca="1">IF(SUM($AK$6:$AK$9)=12,MIN(ABS(BY8-BY9),ABS(BY9-BY10)),100)</f>
        <v>17789500.030000001</v>
      </c>
      <c r="AB9" s="101" t="str">
        <f ca="1">IF(AND(AA9&gt;=0,AA9&lt;90),VLOOKUP(Q9,$BU$6:$BV$9,2,0),"")</f>
        <v/>
      </c>
      <c r="AC9" s="78"/>
      <c r="AD9" s="79"/>
      <c r="AE9" s="365"/>
      <c r="AF9" s="828">
        <f ca="1">VLOOKUP($R9,$AI$6:$AR$9,10,FALSE)</f>
        <v>-17789500.030000001</v>
      </c>
      <c r="AG9" s="827">
        <f ca="1">RANK(AU9,$AU$6:$AU$9)</f>
        <v>2</v>
      </c>
      <c r="AH9" s="827">
        <f ca="1">RANK(AR9,$AR$6:$AR$9)</f>
        <v>2</v>
      </c>
      <c r="AI9" s="829" t="str">
        <f ca="1">A8</f>
        <v>Paises Bajos</v>
      </c>
      <c r="AJ9" s="827">
        <f ca="1">AL9*3+AM9*1+AN9*0</f>
        <v>6</v>
      </c>
      <c r="AK9" s="827">
        <f ca="1">COUNTIFS($I$4:$I$65,AI9,$K$4:$K$65,"&lt;&gt;",$L$4:$L$65,"&lt;&gt;")+COUNTIFS($N$4:$N$65,AI9,$L$4:$L$65,"&lt;&gt;",$K$4:$K$65,"&lt;&gt;")</f>
        <v>3</v>
      </c>
      <c r="AL9" s="827">
        <f t="array" aca="1" ref="AL9" ca="1">SUM(($I$4:$I$65=AI9)*($K$4:$K$65&lt;&gt;"")*($L$4:$L$65&lt;&gt;"")*($K$4:$K$65&gt;$L$4:$L$65),($N$4:$N$65=AI9)*($K$4:$K$65&lt;&gt;"")*($L$4:$L$65&lt;&gt;"")*($K$4:$K$65&lt;$L$4:$L$65))</f>
        <v>2</v>
      </c>
      <c r="AM9" s="827">
        <f t="array" aca="1" ref="AM9" ca="1">SUM(($I$4:$I$65=AI9)*($K$4:$K$65&lt;&gt;"")*($L$4:$L$65&lt;&gt;"")*($K$4:$K$65=$L$4:$L$65),($N$4:$N$65=AI9)*($K$4:$K$65&lt;&gt;"")*($L$4:$L$65&lt;&gt;"")*($K$4:$K$65=$L$4:$L$65))</f>
        <v>0</v>
      </c>
      <c r="AN9" s="827">
        <f t="array" aca="1" ref="AN9" ca="1">SUM(($I$4:$I$65=AI9)*($L$4:$L$65&lt;&gt;"")*($K$4:$K$65&lt;&gt;"")*($K$4:$K$65&lt;$L$4:$L$65),($K$4:$K$65&lt;&gt;"")*($N$4:$N$65=AI9)*($L$4:$L$65&lt;&gt;"")*($K$4:$K$65&gt;$L$4:$L$65))</f>
        <v>1</v>
      </c>
      <c r="AO9" s="827">
        <f t="array" aca="1" ref="AO9" ca="1">SUMIFS($K$4:$K$65,$I$4:$I$65,AI9,$K$4:$K$65,"&lt;&gt;",$L$4:$L$65,"&lt;&gt;")+SUMIFS($L$4:$L$65,$N$4:$N$65,AI9,$K$4:$K$65,"&lt;&gt;",$L$4:$L$65,"&lt;&gt;")</f>
        <v>5</v>
      </c>
      <c r="AP9" s="827">
        <f t="array" aca="1" ref="AP9" ca="1">SUMIFS($K$4:$K$65,$N$4:$N$65,AI9,$K$4:$K$65,"&lt;&gt;",$L$4:$L$65,"&lt;&gt;")+SUMIFS($L$4:$L$65,$I$4:$I$65,AI9,$K$4:$K$65,"&lt;&gt;",$L$4:$L$65,"&lt;&gt;")</f>
        <v>5</v>
      </c>
      <c r="AQ9" s="827">
        <f ca="1">AO9-AP9</f>
        <v>0</v>
      </c>
      <c r="AR9" s="827">
        <f ca="1">IF(AK9=0,-($AW$11*VLOOKUP(AI9,Tabla3[[NombreEquipo]:[Rank]],3,FALSE)),AJ9*$AW$4+AQ9*$AW$5+AO9*$AW$6+BA9-($AW$11*VLOOKUP(AI9,Tabla3[[NombreEquipo]:[Rank]],3,FALSE)/100))</f>
        <v>6671210499.96</v>
      </c>
      <c r="AS9" s="827">
        <f ca="1">AH9</f>
        <v>2</v>
      </c>
      <c r="AT9" s="827"/>
      <c r="AU9" s="827">
        <f ca="1">IFERROR(AR9-VLOOKUP(AI9,$AB$6:$AC$9,2,0),AR9)</f>
        <v>6671210499.96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0</v>
      </c>
      <c r="BE9" s="835">
        <f t="array" aca="1" ref="BE9" ca="1">SUMIFS($K$4:$K$9,$I$4:$I$9,$AY9,$K$4:$K$9,"&lt;&gt;",$L$4:$L$9,"&lt;&gt;",$N$4:$N$9,BE5)+SUMIFS($L$4:$L$9,$I$4:$I$9,BE5,$K$4:$K$9,"&lt;&gt;",$L$4:$L$9,"&lt;&gt;",$N$4:$N$9,$AY9)</f>
        <v>3</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-3</v>
      </c>
      <c r="BK9" s="835">
        <f ca="1">BE9-BG7</f>
        <v>2</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0</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2</v>
      </c>
      <c r="BV9" s="829" t="str">
        <f ca="1">A8</f>
        <v>Paises Bajos</v>
      </c>
      <c r="BW9" s="829">
        <f t="shared" ca="1" si="2"/>
        <v>6671210499.96</v>
      </c>
      <c r="BX9" s="829" t="str">
        <f ca="1">VLOOKUP(Q9,$AH$6:$AI$9,2,0)</f>
        <v>Senegal</v>
      </c>
      <c r="BY9" s="829">
        <f ca="1">VLOOKUP($BX9,$AI$6:$AR$9,10,FALSE)</f>
        <v>-17789500.030000001</v>
      </c>
      <c r="CA9" s="829">
        <v>4</v>
      </c>
      <c r="CB9" s="829" t="str">
        <f ca="1">VLOOKUP(CA9,$AH$6:$AI$9,2,0)</f>
        <v>Senegal</v>
      </c>
      <c r="CC9" s="829">
        <f ca="1">VLOOKUP(CB9,$AI$6:$AR$9,2,FALSE)</f>
        <v>0</v>
      </c>
      <c r="CD9" s="836">
        <f ca="1">IF(SUM($AK$6:$AK$9)=12,MIN(ABS(BY8-BY9),ABS(BY9-BY10)),100)</f>
        <v>17789500.030000001</v>
      </c>
      <c r="CE9" s="829">
        <f ca="1">VLOOKUP($CB9,$AI$6:$AR$9,9,FALSE)</f>
        <v>-4</v>
      </c>
      <c r="CF9" s="829">
        <f ca="1">VLOOKUP($CB9,$AI$6:$AR$9,7,FALSE)</f>
        <v>2</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44886.666666666664</v>
      </c>
      <c r="G12" s="44">
        <f>Horarios!C12</f>
        <v>44886.666666666664</v>
      </c>
      <c r="H12" s="43" t="s">
        <v>72</v>
      </c>
      <c r="I12" s="45" t="str">
        <f ca="1">A13</f>
        <v>Inglaterra</v>
      </c>
      <c r="J12" s="46" t="str">
        <f ca="1">VLOOKUP(I12,Equipos!$H$2:$I$33,2,0)</f>
        <v>🏴󠁧󠁢󠁥󠁮󠁧󠁿</v>
      </c>
      <c r="K12" s="47">
        <v>3</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72</v>
      </c>
      <c r="I13" s="23" t="str">
        <f ca="1">A15</f>
        <v>Estados unidos</v>
      </c>
      <c r="J13" s="24" t="str">
        <f ca="1">VLOOKUP(I13,Equipos!$H$2:$I$33,2,0)</f>
        <v>🇺🇸</v>
      </c>
      <c r="K13" s="25">
        <v>2</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73</v>
      </c>
      <c r="I14" s="23" t="str">
        <f ca="1">A16</f>
        <v>Gales</v>
      </c>
      <c r="J14" s="24" t="str">
        <f ca="1">VLOOKUP(I14,Equipos!$H$2:$I$33,2,0)</f>
        <v>🏴󠁧󠁢󠁷󠁬󠁳󠁿</v>
      </c>
      <c r="K14" s="25">
        <v>1</v>
      </c>
      <c r="L14" s="25">
        <v>0</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9</v>
      </c>
      <c r="Y14" s="131">
        <f ca="1">VLOOKUP($R14,$AI$14:$AR$17,8,FALSE)</f>
        <v>0</v>
      </c>
      <c r="Z14" s="132">
        <f ca="1">VLOOKUP($R14,$AI$14:$AR$17,9,FALSE)</f>
        <v>9</v>
      </c>
      <c r="AA14" s="395">
        <f ca="1">IF(SUM($AK$14:$AK$17)=12,MIN(ABS(BY13-BY14),ABS(BY14-BY15)),100)</f>
        <v>3377000000.0200005</v>
      </c>
      <c r="AB14" s="101" t="str">
        <f ca="1">IF(AND(AA14&gt;=0,AA14&lt;90),VLOOKUP(Q14,$BU$14:$BV$17,2,0),"")</f>
        <v/>
      </c>
      <c r="AC14" s="78"/>
      <c r="AD14" s="79"/>
      <c r="AE14" s="365"/>
      <c r="AF14" s="828">
        <f ca="1">VLOOKUP($R14,$AI$14:$AR$17,10,FALSE)</f>
        <v>10053210499.950001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9</v>
      </c>
      <c r="AP14" s="827">
        <f t="array" aca="1" ref="AP14" ca="1">SUMIFS($K$4:$K$65,$N$4:$N$65,AI14,$K$4:$K$65,"&lt;&gt;",$L$4:$L$65,"&lt;&gt;")+SUMIFS($L$4:$L$65,$I$4:$I$65,AI14,$K$4:$K$65,"&lt;&gt;",$L$4:$L$65,"&lt;&gt;")</f>
        <v>0</v>
      </c>
      <c r="AQ14" s="827">
        <f ca="1">AO14-AP14</f>
        <v>9</v>
      </c>
      <c r="AR14" s="827">
        <f ca="1">IF(AK14=0,-($AW$11*VLOOKUP(AI14,Tabla3[[NombreEquipo]:[Rank]],3,FALSE)),AJ14*$AW$4+AQ14*$AW$5+AO14*$AW$6+BA14-($AW$11*VLOOKUP(AI14,Tabla3[[NombreEquipo]:[Rank]],3,FALSE)/100))</f>
        <v>10053210499.950001</v>
      </c>
      <c r="AS14" s="827">
        <f ca="1">AH14</f>
        <v>1</v>
      </c>
      <c r="AT14" s="827"/>
      <c r="AU14" s="827">
        <f ca="1">IFERROR(AR14-VLOOKUP(AI14,$AB$14:$AC$17,2,0),AR14)</f>
        <v>10053210499.950001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4</v>
      </c>
      <c r="BH14" s="835">
        <f ca="1">RANK(BI14,BI14:BI17,1)</f>
        <v>1</v>
      </c>
      <c r="BI14" s="835">
        <f ca="1">SUM(IF(AND(AJ14=AJ15,AQ14=AQ15,AO14=AO15),BK14,0),IF(AND(AJ14=AJ16,AQ14=AQ16,AO14=AO16),BL14,0),IF(AND(AJ14=AJ17,AQ14=AQ17,AO14=AO17),BM14,0))</f>
        <v>0</v>
      </c>
      <c r="BJ14" s="835">
        <v>0</v>
      </c>
      <c r="BK14" s="835">
        <f ca="1">BE14-BD15</f>
        <v>3</v>
      </c>
      <c r="BL14" s="835">
        <f ca="1">BF14-BD16</f>
        <v>2</v>
      </c>
      <c r="BM14" s="835">
        <f ca="1">BG14-BD17</f>
        <v>4</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10053210499.950001</v>
      </c>
      <c r="BX14" s="829" t="str">
        <f ca="1">VLOOKUP(Q14,$AH$14:$AI$17,2,0)</f>
        <v>Inglaterra</v>
      </c>
      <c r="BY14" s="829">
        <f ca="1">VLOOKUP($BX14,$AI$14:$AR$17,10,FALSE)</f>
        <v>10053210499.950001</v>
      </c>
      <c r="CA14" s="829">
        <v>1</v>
      </c>
      <c r="CB14" s="829" t="str">
        <f ca="1">VLOOKUP(CA14,$AH$14:$AI$17,2,0)</f>
        <v>Inglaterra</v>
      </c>
      <c r="CC14" s="829">
        <f ca="1">VLOOKUP(CB14,$AI$14:$AR$17,2,FALSE)</f>
        <v>9</v>
      </c>
      <c r="CD14" s="836">
        <f ca="1">IF(SUM($AK$14:$AK$17)=12,MIN(ABS(BY13-BY14),ABS(BY14-BY15)),100)</f>
        <v>3377000000.0200005</v>
      </c>
      <c r="CE14" s="829">
        <f ca="1">VLOOKUP($CB14,$AI$14:$AR$17,9,FALSE)</f>
        <v>9</v>
      </c>
      <c r="CF14" s="829">
        <f ca="1">VLOOKUP($CB14,$AI$14:$AR$17,7,FALSE)</f>
        <v>9</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73</v>
      </c>
      <c r="I15" s="23" t="str">
        <f ca="1">A13</f>
        <v>Inglaterra</v>
      </c>
      <c r="J15" s="24" t="str">
        <f ca="1">VLOOKUP(I15,Equipos!$H$2:$I$33,2,0)</f>
        <v>🏴󠁧󠁢󠁥󠁮󠁧󠁿</v>
      </c>
      <c r="K15" s="25">
        <v>2</v>
      </c>
      <c r="L15" s="25">
        <v>0</v>
      </c>
      <c r="M15" s="31" t="str">
        <f ca="1">VLOOKUP(N15,Equipos!$H$2:$I$33,2,0)</f>
        <v>🇺🇸</v>
      </c>
      <c r="N15" s="50" t="str">
        <f ca="1">A15</f>
        <v>Estados unidos</v>
      </c>
      <c r="O15" s="385">
        <f t="shared" si="6"/>
        <v>1</v>
      </c>
      <c r="P15" s="88"/>
      <c r="Q15" s="133">
        <v>2</v>
      </c>
      <c r="R15" s="4" t="str">
        <f ca="1">VLOOKUP(Q15,$AG$14:$AI$17,3,0)</f>
        <v>Estados unidos</v>
      </c>
      <c r="S15" s="3">
        <f ca="1">VLOOKUP(R15,$AI$14:$AR$17,2,FALSE)</f>
        <v>6</v>
      </c>
      <c r="T15" s="3">
        <f ca="1">VLOOKUP($R15,$AI$14:$AR$17,3,FALSE)</f>
        <v>3</v>
      </c>
      <c r="U15" s="3">
        <f ca="1">VLOOKUP($R15,$AI$14:$AR$17,4,FALSE)</f>
        <v>2</v>
      </c>
      <c r="V15" s="3">
        <f ca="1">VLOOKUP($R15,$AI$14:$AR$17,5,FALSE)</f>
        <v>0</v>
      </c>
      <c r="W15" s="3">
        <f ca="1">VLOOKUP($R15,$AI$14:$AR$17,6,FALSE)</f>
        <v>1</v>
      </c>
      <c r="X15" s="3">
        <f ca="1">VLOOKUP($R15,$AI$14:$AR$17,7,FALSE)</f>
        <v>5</v>
      </c>
      <c r="Y15" s="3">
        <f ca="1">VLOOKUP($R15,$AI$14:$AR$17,8,FALSE)</f>
        <v>4</v>
      </c>
      <c r="Z15" s="134">
        <f ca="1">VLOOKUP($R15,$AI$14:$AR$17,9,FALSE)</f>
        <v>1</v>
      </c>
      <c r="AA15" s="395">
        <f ca="1">IF(SUM($AK$14:$AK$17)=12,MIN(ABS(BY14-BY15),ABS(BY15-BY16)),100)</f>
        <v>3361000000.0100002</v>
      </c>
      <c r="AB15" s="101" t="str">
        <f ca="1">IF(AND(AA15&gt;=0,AA15&lt;90),VLOOKUP(Q15,$BU$14:$BV$17,2,0),"")</f>
        <v/>
      </c>
      <c r="AC15" s="78"/>
      <c r="AD15" s="79"/>
      <c r="AE15" s="365"/>
      <c r="AF15" s="828">
        <f ca="1">VLOOKUP($R15,$AI$14:$AR$17,10,FALSE)</f>
        <v>6676210499.9300003</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7</v>
      </c>
      <c r="AQ15" s="827">
        <f ca="1">AO15-AP15</f>
        <v>-6</v>
      </c>
      <c r="AR15" s="827">
        <f ca="1">IF(AK15=0,-($AW$11*VLOOKUP(AI15,Tabla3[[NombreEquipo]:[Rank]],3,FALSE)),AJ15*$AW$4+AQ15*$AW$5+AO15*$AW$6+BA15-($AW$11*VLOOKUP(AI15,Tabla3[[NombreEquipo]:[Rank]],3,FALSE)/100))</f>
        <v>-28789500.059999999</v>
      </c>
      <c r="AS15" s="827">
        <f ca="1">AH15</f>
        <v>4</v>
      </c>
      <c r="AT15" s="827"/>
      <c r="AU15" s="827">
        <f ca="1">IFERROR(AR15-VLOOKUP(AI15,$AB$14:$AC$17,2,0),AR15)</f>
        <v>-28789500.059999999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-3</v>
      </c>
      <c r="BK15" s="835">
        <v>0</v>
      </c>
      <c r="BL15" s="835">
        <f ca="1">BF15-BE16</f>
        <v>-2</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-28789500.059999999</v>
      </c>
      <c r="BX15" s="829" t="str">
        <f ca="1">VLOOKUP(Q15,$AH$14:$AI$17,2,0)</f>
        <v>Estados unidos</v>
      </c>
      <c r="BY15" s="829">
        <f ca="1">VLOOKUP($BX15,$AI$14:$AR$17,10,FALSE)</f>
        <v>6676210499.9300003</v>
      </c>
      <c r="CA15" s="829">
        <v>2</v>
      </c>
      <c r="CB15" s="829" t="str">
        <f ca="1">VLOOKUP(CA15,$AH$14:$AI$17,2,0)</f>
        <v>Estados unidos</v>
      </c>
      <c r="CC15" s="829">
        <f ca="1">VLOOKUP(CB15,$AI$14:$AR$17,2,FALSE)</f>
        <v>6</v>
      </c>
      <c r="CD15" s="836">
        <f ca="1">IF(SUM($AK$14:$AK$17)=12,MIN(ABS(BY14-BY15),ABS(BY15-BY16)),100)</f>
        <v>3361000000.0100002</v>
      </c>
      <c r="CE15" s="829">
        <f ca="1">VLOOKUP($CB15,$AI$14:$AR$17,9,FALSE)</f>
        <v>1</v>
      </c>
      <c r="CF15" s="829">
        <f ca="1">VLOOKUP($CB15,$AI$14:$AR$17,7,FALSE)</f>
        <v>5</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74</v>
      </c>
      <c r="I16" s="23" t="str">
        <f ca="1">A16</f>
        <v>Gales</v>
      </c>
      <c r="J16" s="24" t="str">
        <f ca="1">VLOOKUP(I16,Equipos!$H$2:$I$33,2,0)</f>
        <v>🏴󠁧󠁢󠁷󠁬󠁳󠁿</v>
      </c>
      <c r="K16" s="25">
        <v>0</v>
      </c>
      <c r="L16" s="25">
        <v>4</v>
      </c>
      <c r="M16" s="31" t="str">
        <f ca="1">VLOOKUP(N16,Equipos!$H$2:$I$33,2,0)</f>
        <v>🏴󠁧󠁢󠁥󠁮󠁧󠁿</v>
      </c>
      <c r="N16" s="50" t="str">
        <f ca="1">A13</f>
        <v>Inglaterra</v>
      </c>
      <c r="O16" s="385">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2</v>
      </c>
      <c r="Y16" s="3">
        <f ca="1">VLOOKUP($R16,$AI$14:$AR$17,8,FALSE)</f>
        <v>6</v>
      </c>
      <c r="Z16" s="134">
        <f ca="1">VLOOKUP($R16,$AI$14:$AR$17,9,FALSE)</f>
        <v>-4</v>
      </c>
      <c r="AA16" s="395">
        <f ca="1">IF(SUM($AK$14:$AK$17)=12,MIN(ABS(BY15-BY16),ABS(BY16-BY17)),100)</f>
        <v>3343999999.98</v>
      </c>
      <c r="AB16" s="101" t="str">
        <f ca="1">IF(AND(AA16&gt;=0,AA16&lt;90),VLOOKUP(Q16,$BU$14:$BV$17,2,0),"")</f>
        <v/>
      </c>
      <c r="AC16" s="78"/>
      <c r="AD16" s="79"/>
      <c r="AE16" s="365"/>
      <c r="AF16" s="828">
        <f ca="1">VLOOKUP($R16,$AI$14:$AR$17,10,FALSE)</f>
        <v>3315210499.9200001</v>
      </c>
      <c r="AG16" s="827">
        <f ca="1">RANK(AU16,$AU$14:$AU$17)</f>
        <v>2</v>
      </c>
      <c r="AH16" s="827">
        <f ca="1">RANK(AR16,$AR$14:$AR$17)</f>
        <v>2</v>
      </c>
      <c r="AI16" s="829" t="str">
        <f ca="1">A15</f>
        <v>Estados unidos</v>
      </c>
      <c r="AJ16" s="827">
        <f ca="1">AL16*3+AM16*1+AN16*0</f>
        <v>6</v>
      </c>
      <c r="AK16" s="827">
        <f ca="1">COUNTIFS($I$4:$I$65,AI16,$K$4:$K$65,"&lt;&gt;",$L$4:$L$65,"&lt;&gt;")+COUNTIFS($N$4:$N$65,AI16,$L$4:$L$65,"&lt;&gt;",$K$4:$K$65,"&lt;&gt;")</f>
        <v>3</v>
      </c>
      <c r="AL16" s="827">
        <f t="array" aca="1" ref="AL16" ca="1">SUM(($I$4:$I$65=AI16)*($K$4:$K$65&lt;&gt;"")*($L$4:$L$65&lt;&gt;"")*($K$4:$K$65&gt;$L$4:$L$65),($N$4:$N$65=AI16)*($K$4:$K$65&lt;&gt;"")*($L$4:$L$65&lt;&gt;"")*($K$4:$K$65&lt;$L$4:$L$65))</f>
        <v>2</v>
      </c>
      <c r="AM16" s="827">
        <f t="array" aca="1" ref="AM16" ca="1">SUM(($I$4:$I$65=AI16)*($K$4:$K$65&lt;&gt;"")*($L$4:$L$65&lt;&gt;"")*($K$4:$K$65=$L$4:$L$65),($N$4:$N$65=AI16)*($K$4:$K$65&lt;&gt;"")*($L$4:$L$65&lt;&gt;"")*($K$4:$K$65=$L$4:$L$65))</f>
        <v>0</v>
      </c>
      <c r="AN16" s="827">
        <f t="array" aca="1" ref="AN16" ca="1">SUM(($I$4:$I$65=AI16)*($L$4:$L$65&lt;&gt;"")*($K$4:$K$65&lt;&gt;"")*($K$4:$K$65&lt;$L$4:$L$65),($K$4:$K$65&lt;&gt;"")*($N$4:$N$65=AI16)*($L$4:$L$65&lt;&gt;"")*($K$4:$K$65&gt;$L$4:$L$65))</f>
        <v>1</v>
      </c>
      <c r="AO16" s="827">
        <f t="array" aca="1" ref="AO16" ca="1">SUMIFS($K$4:$K$65,$I$4:$I$65,AI16,$K$4:$K$65,"&lt;&gt;",$L$4:$L$65,"&lt;&gt;")+SUMIFS($L$4:$L$65,$N$4:$N$65,AI16,$K$4:$K$65,"&lt;&gt;",$L$4:$L$65,"&lt;&gt;")</f>
        <v>5</v>
      </c>
      <c r="AP16" s="827">
        <f t="array" aca="1" ref="AP16" ca="1">SUMIFS($K$4:$K$65,$N$4:$N$65,AI16,$K$4:$K$65,"&lt;&gt;",$L$4:$L$65,"&lt;&gt;")+SUMIFS($L$4:$L$65,$I$4:$I$65,AI16,$K$4:$K$65,"&lt;&gt;",$L$4:$L$65,"&lt;&gt;")</f>
        <v>4</v>
      </c>
      <c r="AQ16" s="827">
        <f ca="1">AO16-AP16</f>
        <v>1</v>
      </c>
      <c r="AR16" s="827">
        <f ca="1">IF(AK16=0,-($AW$11*VLOOKUP(AI16,Tabla3[[NombreEquipo]:[Rank]],3,FALSE)),AJ16*$AW$4+AQ16*$AW$5+AO16*$AW$6+BA16-($AW$11*VLOOKUP(AI16,Tabla3[[NombreEquipo]:[Rank]],3,FALSE)/100))</f>
        <v>6676210499.9300003</v>
      </c>
      <c r="AS16" s="827">
        <f ca="1">AH16</f>
        <v>2</v>
      </c>
      <c r="AT16" s="827"/>
      <c r="AU16" s="827">
        <f ca="1">IFERROR(AR16-VLOOKUP(AI16,$AB$14:$AC$17,2,0),AR16)</f>
        <v>6676210499.9300003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0</v>
      </c>
      <c r="BE16" s="835">
        <f t="array" aca="1" ref="BE16" ca="1">SUMIFS($K$12:$K$17,$I$12:$I$17,$AY16,$K$12:$K$17,"&lt;&gt;",$L$12:$L$17,"&lt;&gt;",$N$12:$N$17,BE13)+SUMIFS($L$12:$L$17,$I$12:$I$17,BE13,$K$12:$K$17,"&lt;&gt;",$L$12:$L$17,"&lt;&gt;",$N$12:$N$17,$AY16)</f>
        <v>3</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-2</v>
      </c>
      <c r="BK16" s="835">
        <f ca="1">BE16-BF15</f>
        <v>2</v>
      </c>
      <c r="BL16" s="835">
        <v>0</v>
      </c>
      <c r="BM16" s="835">
        <f ca="1">BG16-BF17</f>
        <v>1</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6676210499.9300003</v>
      </c>
      <c r="BX16" s="829" t="str">
        <f ca="1">VLOOKUP(Q16,$AH$14:$AI$17,2,0)</f>
        <v>Gales</v>
      </c>
      <c r="BY16" s="829">
        <f ca="1">VLOOKUP($BX16,$AI$14:$AR$17,10,FALSE)</f>
        <v>3315210499.9200001</v>
      </c>
      <c r="CA16" s="829">
        <v>3</v>
      </c>
      <c r="CB16" s="829" t="str">
        <f ca="1">VLOOKUP(CA16,$AH$14:$AI$17,2,0)</f>
        <v>Gales</v>
      </c>
      <c r="CC16" s="829">
        <f ca="1">VLOOKUP(CB16,$AI$14:$AR$17,2,FALSE)</f>
        <v>3</v>
      </c>
      <c r="CD16" s="836">
        <f ca="1">IF(SUM($AK$14:$AK$17)=12,MIN(ABS(BY15-BY16),ABS(BY16-BY17)),100)</f>
        <v>3343999999.98</v>
      </c>
      <c r="CE16" s="829">
        <f ca="1">VLOOKUP($CB16,$AI$14:$AR$17,9,FALSE)</f>
        <v>-4</v>
      </c>
      <c r="CF16" s="829">
        <f ca="1">VLOOKUP($CB16,$AI$14:$AR$17,7,FALSE)</f>
        <v>2</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6"/>
      <c r="F17" s="51">
        <f>Horarios!C17</f>
        <v>44894.916666666664</v>
      </c>
      <c r="G17" s="52">
        <f>Horarios!C17</f>
        <v>44894.916666666664</v>
      </c>
      <c r="H17" s="51" t="s">
        <v>74</v>
      </c>
      <c r="I17" s="53" t="str">
        <f ca="1">A14</f>
        <v>Irán</v>
      </c>
      <c r="J17" s="54" t="str">
        <f ca="1">VLOOKUP(I17,Equipos!$H$2:$I$33,2,0)</f>
        <v>🇮🇷</v>
      </c>
      <c r="K17" s="55">
        <v>1</v>
      </c>
      <c r="L17" s="55">
        <v>3</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7</v>
      </c>
      <c r="Z17" s="138">
        <f ca="1">VLOOKUP($R17,$AI$14:$AR$17,9,FALSE)</f>
        <v>-6</v>
      </c>
      <c r="AA17" s="395">
        <f ca="1">IF(SUM($AK$14:$AK$17)=12,MIN(ABS(BY16-BY17),ABS(BY17-BY18)),100)</f>
        <v>28789500.059999999</v>
      </c>
      <c r="AB17" s="101" t="str">
        <f ca="1">IF(AND(AA17&gt;=0,AA17&lt;90),VLOOKUP(Q17,$BU$14:$BV$17,2,0),"")</f>
        <v/>
      </c>
      <c r="AC17" s="78"/>
      <c r="AD17" s="79"/>
      <c r="AE17" s="365"/>
      <c r="AF17" s="828">
        <f ca="1">VLOOKUP($R17,$AI$14:$AR$17,10,FALSE)</f>
        <v>-28789500.059999999</v>
      </c>
      <c r="AG17" s="827">
        <f ca="1">RANK(AU17,$AU$14:$AU$17)</f>
        <v>3</v>
      </c>
      <c r="AH17" s="827">
        <f ca="1">RANK(AR17,$AR$14:$AR$17)</f>
        <v>3</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2</v>
      </c>
      <c r="AP17" s="827">
        <f t="array" aca="1" ref="AP17" ca="1">SUMIFS($K$4:$K$65,$N$4:$N$65,AI17,$K$4:$K$65,"&lt;&gt;",$L$4:$L$65,"&lt;&gt;")+SUMIFS($L$4:$L$65,$I$4:$I$65,AI17,$K$4:$K$65,"&lt;&gt;",$L$4:$L$65,"&lt;&gt;")</f>
        <v>6</v>
      </c>
      <c r="AQ17" s="827">
        <f ca="1">AO17-AP17</f>
        <v>-4</v>
      </c>
      <c r="AR17" s="827">
        <f ca="1">IF(AK17=0,-($AW$11*VLOOKUP(AI17,Tabla3[[NombreEquipo]:[Rank]],3,FALSE)),AJ17*$AW$4+AQ17*$AW$5+AO17*$AW$6+BA17-($AW$11*VLOOKUP(AI17,Tabla3[[NombreEquipo]:[Rank]],3,FALSE)/100))</f>
        <v>3315210499.9200001</v>
      </c>
      <c r="AS17" s="827">
        <f ca="1">AH17</f>
        <v>3</v>
      </c>
      <c r="AT17" s="827"/>
      <c r="AU17" s="827">
        <f ca="1">IFERROR(AR17-VLOOKUP(AI17,$AB$14:$AC$17,2,0),AR17)</f>
        <v>3315210499.9200001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0</v>
      </c>
      <c r="BE17" s="835">
        <f t="array" aca="1" ref="BE17" ca="1">SUMIFS($K$12:$K$17,$I$12:$I$17,$AY17,$K$12:$K$17,"&lt;&gt;",$L$12:$L$17,"&lt;&gt;",$N$12:$N$17,BE13)+SUMIFS($L$12:$L$17,$I$12:$I$17,BE13,$K$12:$K$17,"&lt;&gt;",$L$12:$L$17,"&lt;&gt;",$N$12:$N$17,$AY17)</f>
        <v>1</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-4</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3</v>
      </c>
      <c r="BV17" s="829" t="str">
        <f ca="1">A16</f>
        <v>Gales</v>
      </c>
      <c r="BW17" s="829">
        <f t="shared" ca="1" si="8"/>
        <v>3315210499.9200001</v>
      </c>
      <c r="BX17" s="829" t="str">
        <f ca="1">VLOOKUP(Q17,$AH$14:$AI$17,2,0)</f>
        <v>Irán</v>
      </c>
      <c r="BY17" s="829">
        <f ca="1">VLOOKUP($BX17,$AI$14:$AR$17,10,FALSE)</f>
        <v>-28789500.059999999</v>
      </c>
      <c r="CA17" s="829">
        <v>4</v>
      </c>
      <c r="CB17" s="829" t="str">
        <f ca="1">VLOOKUP(CA17,$AH$14:$AI$17,2,0)</f>
        <v>Irán</v>
      </c>
      <c r="CC17" s="829">
        <f ca="1">VLOOKUP(CB17,$AI$14:$AR$17,2,FALSE)</f>
        <v>0</v>
      </c>
      <c r="CD17" s="836">
        <f ca="1">IF(SUM($AK$14:$AK$17)=12,MIN(ABS(BY16-BY17),ABS(BY17-BY18)),100)</f>
        <v>28789500.059999999</v>
      </c>
      <c r="CE17" s="829">
        <f ca="1">VLOOKUP($CB17,$AI$14:$AR$17,9,FALSE)</f>
        <v>-6</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44887.541666666664</v>
      </c>
      <c r="G20" s="59">
        <f>Horarios!C20</f>
        <v>44887.541666666664</v>
      </c>
      <c r="H20" s="58" t="s">
        <v>72</v>
      </c>
      <c r="I20" s="60" t="str">
        <f ca="1">A21</f>
        <v>Argentina</v>
      </c>
      <c r="J20" s="61" t="str">
        <f ca="1">VLOOKUP(I20,Equipos!$H$2:$I$33,2,0)</f>
        <v>🇦🇷</v>
      </c>
      <c r="K20" s="62">
        <v>4</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72</v>
      </c>
      <c r="I21" s="28" t="str">
        <f ca="1">A23</f>
        <v>México</v>
      </c>
      <c r="J21" s="29" t="str">
        <f ca="1">VLOOKUP(I21,Equipos!$H$2:$I$33,2,0)</f>
        <v>🇲🇽</v>
      </c>
      <c r="K21" s="30">
        <v>2</v>
      </c>
      <c r="L21" s="30">
        <v>1</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73</v>
      </c>
      <c r="I22" s="28" t="str">
        <f ca="1">A24</f>
        <v>Polonia</v>
      </c>
      <c r="J22" s="29" t="str">
        <f ca="1">VLOOKUP(I22,Equipos!$H$2:$I$33,2,0)</f>
        <v>🇵🇱</v>
      </c>
      <c r="K22" s="30">
        <v>1</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11</v>
      </c>
      <c r="Y22" s="148">
        <f ca="1">VLOOKUP($R22,$AI$22:$AR$25,8,FALSE)</f>
        <v>1</v>
      </c>
      <c r="Z22" s="149">
        <f ca="1">VLOOKUP($R22,$AI$22:$AR$25,9,FALSE)</f>
        <v>10</v>
      </c>
      <c r="AA22" s="395">
        <f ca="1">IF(SUM($AK$22:$AK$25)=12,MIN(ABS(BY21-BY22),ABS(BY22-BY23)),100)</f>
        <v>5618000000.0199995</v>
      </c>
      <c r="AB22" s="101" t="str">
        <f ca="1">IF(AND(AA22&gt;=0,AA22&lt;90),VLOOKUP(Q22,$BU$22:$BV$25,2,0),"")</f>
        <v/>
      </c>
      <c r="AC22" s="78"/>
      <c r="AD22" s="79"/>
      <c r="AE22" s="365"/>
      <c r="AF22" s="828">
        <f ca="1">VLOOKUP($R22,$AI$22:$AR$25,10,FALSE)</f>
        <v>10060210499.91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11</v>
      </c>
      <c r="AP22" s="827">
        <f t="array" aca="1" ref="AP22" ca="1">SUMIFS($K$4:$K$65,$N$4:$N$65,AI22,$K$4:$K$65,"&lt;&gt;",$L$4:$L$65,"&lt;&gt;")+SUMIFS($L$4:$L$65,$I$4:$I$65,AI22,$K$4:$K$65,"&lt;&gt;",$L$4:$L$65,"&lt;&gt;")</f>
        <v>1</v>
      </c>
      <c r="AQ22" s="827">
        <f ca="1">AO22-AP22</f>
        <v>10</v>
      </c>
      <c r="AR22" s="827">
        <f ca="1">IF(AK22=0,-($AW$11*VLOOKUP(AI22,Tabla3[[NombreEquipo]:[Rank]],3,FALSE)),AJ22*$AW$4+AQ22*$AW$5+AO22*$AW$6+BA22-($AW$11*VLOOKUP(AI22,Tabla3[[NombreEquipo]:[Rank]],3,FALSE)/100))</f>
        <v>10060210499.91</v>
      </c>
      <c r="AS22" s="827">
        <f ca="1">AH22</f>
        <v>1</v>
      </c>
      <c r="AT22" s="827"/>
      <c r="AU22" s="827">
        <f ca="1">IFERROR(AR22-VLOOKUP(AI22,$AB$22:$AC$25,2,0),AR22)</f>
        <v>10060210499.91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4</v>
      </c>
      <c r="BF22" s="835">
        <f t="array" aca="1" ref="BF22" ca="1">SUMIFS($K$20:$K$25,$I$20:$I$25,$AY22,$K$20:$K$25,"&lt;&gt;",$L$20:$L$25,"&lt;&gt;",$N$20:$N$25,BF21)+SUMIFS($L$20:$L$25,$I$20:$I$25,BF21,$K$20:$K$25,"&lt;&gt;",$L$20:$L$25,"&lt;&gt;",$N$20:$N$25,$AY22)</f>
        <v>3</v>
      </c>
      <c r="BG22" s="835">
        <f t="array" aca="1" ref="BG22" ca="1">SUMIFS($K$20:$K$25,$I$20:$I$25,$AY22,$K$20:$K$25,"&lt;&gt;",$L$20:$L$25,"&lt;&gt;",$N$20:$N$25,BG21)+SUMIFS($L$20:$L$25,$I$20:$I$25,BG21,$K$20:$K$25,"&lt;&gt;",$L$20:$L$25,"&lt;&gt;",$N$20:$N$25,$AY22)</f>
        <v>4</v>
      </c>
      <c r="BH22" s="835">
        <f ca="1">RANK(BI22,BI22:BI25,1)</f>
        <v>1</v>
      </c>
      <c r="BI22" s="835">
        <f ca="1">SUM(IF(AND(AJ22=AJ23,AQ22=AQ23,AO22=AO23),BK22,0),IF(AND(AJ22=AJ24,AQ22=AQ24,AO22=AO24),BL22,0),IF(AND(AJ22=AJ25,AQ22=AQ25,AO22=AO25),BM22,0))</f>
        <v>0</v>
      </c>
      <c r="BJ22" s="835">
        <v>0</v>
      </c>
      <c r="BK22" s="835">
        <f ca="1">BE22-BD23</f>
        <v>4</v>
      </c>
      <c r="BL22" s="835">
        <f ca="1">BF22-BD24</f>
        <v>2</v>
      </c>
      <c r="BM22" s="835">
        <f ca="1">BG22-BD25</f>
        <v>4</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10060210499.91</v>
      </c>
      <c r="BX22" s="829" t="str">
        <f ca="1">VLOOKUP(Q22,$AH$22:$AI$25,2,0)</f>
        <v>Argentina</v>
      </c>
      <c r="BY22" s="829">
        <f ca="1">VLOOKUP($BX22,$AI$22:$AR$25,10,FALSE)</f>
        <v>10060210499.91</v>
      </c>
      <c r="CA22" s="829">
        <v>1</v>
      </c>
      <c r="CB22" s="829" t="str">
        <f ca="1">VLOOKUP(CA22,$AH$22:$AI$25,2,0)</f>
        <v>Argentina</v>
      </c>
      <c r="CC22" s="829">
        <f ca="1">VLOOKUP(CB22,$AI$22:$AR$25,2,FALSE)</f>
        <v>9</v>
      </c>
      <c r="CD22" s="836">
        <f ca="1">IF(SUM($AK$22:$AK$25)=12,MIN(ABS(BY21-BY22),ABS(BY22-BY23)),100)</f>
        <v>5618000000.0199995</v>
      </c>
      <c r="CE22" s="829">
        <f ca="1">VLOOKUP($CB22,$AI$22:$AR$25,9,FALSE)</f>
        <v>10</v>
      </c>
      <c r="CF22" s="829">
        <f ca="1">VLOOKUP($CB22,$AI$22:$AR$25,7,FALSE)</f>
        <v>11</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73</v>
      </c>
      <c r="I23" s="28" t="str">
        <f ca="1">A21</f>
        <v>Argentina</v>
      </c>
      <c r="J23" s="29" t="str">
        <f ca="1">VLOOKUP(I23,Equipos!$H$2:$I$33,2,0)</f>
        <v>🇦🇷</v>
      </c>
      <c r="K23" s="30">
        <v>3</v>
      </c>
      <c r="L23" s="30">
        <v>1</v>
      </c>
      <c r="M23" s="373" t="str">
        <f ca="1">VLOOKUP(N23,Equipos!$H$2:$I$33,2,0)</f>
        <v>🇲🇽</v>
      </c>
      <c r="N23" s="64" t="str">
        <f ca="1">A23</f>
        <v>México</v>
      </c>
      <c r="O23" s="385">
        <f t="shared" si="11"/>
        <v>1</v>
      </c>
      <c r="P23" s="88"/>
      <c r="Q23" s="150">
        <v>2</v>
      </c>
      <c r="R23" s="4" t="str">
        <f ca="1">VLOOKUP(Q23,$AG$22:$AI$25,3,0)</f>
        <v>México</v>
      </c>
      <c r="S23" s="3">
        <f ca="1">VLOOKUP(R23,$AI$22:$AR$25,2,FALSE)</f>
        <v>4</v>
      </c>
      <c r="T23" s="3">
        <f ca="1">VLOOKUP($R23,$AI$22:$AR$25,3,FALSE)</f>
        <v>3</v>
      </c>
      <c r="U23" s="3">
        <f ca="1">VLOOKUP($R23,$AI$22:$AR$25,4,FALSE)</f>
        <v>1</v>
      </c>
      <c r="V23" s="3">
        <f ca="1">VLOOKUP($R23,$AI$22:$AR$25,5,FALSE)</f>
        <v>1</v>
      </c>
      <c r="W23" s="3">
        <f ca="1">VLOOKUP($R23,$AI$22:$AR$25,6,FALSE)</f>
        <v>1</v>
      </c>
      <c r="X23" s="3">
        <f ca="1">VLOOKUP($R23,$AI$22:$AR$25,7,FALSE)</f>
        <v>3</v>
      </c>
      <c r="Y23" s="3">
        <f ca="1">VLOOKUP($R23,$AI$22:$AR$25,8,FALSE)</f>
        <v>4</v>
      </c>
      <c r="Z23" s="151">
        <f ca="1">VLOOKUP($R23,$AI$22:$AR$25,9,FALSE)</f>
        <v>-1</v>
      </c>
      <c r="AA23" s="395">
        <f ca="1">IF(SUM($AK$22:$AK$25)=12,MIN(ABS(BY22-BY23),ABS(BY23-BY24)),100)</f>
        <v>1127000000.0100002</v>
      </c>
      <c r="AB23" s="101" t="str">
        <f ca="1">IF(AND(AA23&gt;=0,AA23&lt;90),VLOOKUP(Q23,$BU$22:$BV$25,2,0),"")</f>
        <v/>
      </c>
      <c r="AC23" s="78"/>
      <c r="AD23" s="79"/>
      <c r="AE23" s="365"/>
      <c r="AF23" s="828">
        <f ca="1">VLOOKUP($R23,$AI$22:$AR$25,10,FALSE)</f>
        <v>4442210499.8900003</v>
      </c>
      <c r="AG23" s="827">
        <f ca="1">RANK(AU23,$AU$22:$AU$25)</f>
        <v>4</v>
      </c>
      <c r="AH23" s="827">
        <f ca="1">RANK(AR23,$AR$22:$AR$25)</f>
        <v>4</v>
      </c>
      <c r="AI23" s="829" t="str">
        <f ca="1">A22</f>
        <v>Arabia Saudita</v>
      </c>
      <c r="AJ23" s="827">
        <f ca="1">AL23*3+AM23*1+AN23*0</f>
        <v>1</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1</v>
      </c>
      <c r="AN23" s="827">
        <f t="array" aca="1" ref="AN23" ca="1">SUM(($I$4:$I$65=AI23)*($L$4:$L$65&lt;&gt;"")*($K$4:$K$65&lt;&gt;"")*($K$4:$K$65&lt;$L$4:$L$65),($K$4:$K$65&lt;&gt;"")*($N$4:$N$65=AI23)*($L$4:$L$65&lt;&gt;"")*($K$4:$K$65&gt;$L$4:$L$65))</f>
        <v>2</v>
      </c>
      <c r="AO23" s="827">
        <f t="array" aca="1" ref="AO23" ca="1">SUMIFS($K$4:$K$65,$I$4:$I$65,AI23,$K$4:$K$65,"&lt;&gt;",$L$4:$L$65,"&lt;&gt;")+SUMIFS($L$4:$L$65,$N$4:$N$65,AI23,$K$4:$K$65,"&lt;&gt;",$L$4:$L$65,"&lt;&gt;")</f>
        <v>0</v>
      </c>
      <c r="AP23" s="827">
        <f t="array" aca="1" ref="AP23" ca="1">SUMIFS($K$4:$K$65,$N$4:$N$65,AI23,$K$4:$K$65,"&lt;&gt;",$L$4:$L$65,"&lt;&gt;")+SUMIFS($L$4:$L$65,$I$4:$I$65,AI23,$K$4:$K$65,"&lt;&gt;",$L$4:$L$65,"&lt;&gt;")</f>
        <v>5</v>
      </c>
      <c r="AQ23" s="827">
        <f ca="1">AO23-AP23</f>
        <v>-5</v>
      </c>
      <c r="AR23" s="827">
        <f ca="1">IF(AK23=0,-($AW$11*VLOOKUP(AI23,Tabla3[[NombreEquipo]:[Rank]],3,FALSE)),AJ23*$AW$4+AQ23*$AW$5+AO23*$AW$6+BA23-($AW$11*VLOOKUP(AI23,Tabla3[[NombreEquipo]:[Rank]],3,FALSE)/100))</f>
        <v>1086210499.9000001</v>
      </c>
      <c r="AS23" s="827">
        <f ca="1">AH23</f>
        <v>4</v>
      </c>
      <c r="AT23" s="827"/>
      <c r="AU23" s="827">
        <f ca="1">IFERROR(AR23-VLOOKUP(AI23,$AB$22:$AC$25,2,0),AR23)</f>
        <v>1086210499.9000001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-4</v>
      </c>
      <c r="BK23" s="835">
        <v>0</v>
      </c>
      <c r="BL23" s="835">
        <f ca="1">BF23-BE24</f>
        <v>0</v>
      </c>
      <c r="BM23" s="835">
        <f ca="1">BG23-BE25</f>
        <v>-1</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1</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1086210499.9000001</v>
      </c>
      <c r="BX23" s="829" t="str">
        <f ca="1">VLOOKUP(Q23,$AH$22:$AI$25,2,0)</f>
        <v>México</v>
      </c>
      <c r="BY23" s="829">
        <f ca="1">VLOOKUP($BX23,$AI$22:$AR$25,10,FALSE)</f>
        <v>4442210499.8900003</v>
      </c>
      <c r="CA23" s="829">
        <v>2</v>
      </c>
      <c r="CB23" s="829" t="str">
        <f ca="1">VLOOKUP(CA23,$AH$22:$AI$25,2,0)</f>
        <v>México</v>
      </c>
      <c r="CC23" s="829">
        <f ca="1">VLOOKUP(CB23,$AI$22:$AR$25,2,FALSE)</f>
        <v>4</v>
      </c>
      <c r="CD23" s="836">
        <f ca="1">IF(SUM($AK$22:$AK$25)=12,MIN(ABS(BY22-BY23),ABS(BY23-BY24)),100)</f>
        <v>1127000000.0100002</v>
      </c>
      <c r="CE23" s="829">
        <f ca="1">VLOOKUP($CB23,$AI$22:$AR$25,9,FALSE)</f>
        <v>-1</v>
      </c>
      <c r="CF23" s="829">
        <f ca="1">VLOOKUP($CB23,$AI$22:$AR$25,7,FALSE)</f>
        <v>3</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74</v>
      </c>
      <c r="I24" s="28" t="str">
        <f ca="1">A24</f>
        <v>Polonia</v>
      </c>
      <c r="J24" s="29" t="str">
        <f ca="1">VLOOKUP(I24,Equipos!$H$2:$I$33,2,0)</f>
        <v>🇵🇱</v>
      </c>
      <c r="K24" s="30">
        <v>0</v>
      </c>
      <c r="L24" s="30">
        <v>4</v>
      </c>
      <c r="M24" s="373" t="str">
        <f ca="1">VLOOKUP(N24,Equipos!$H$2:$I$33,2,0)</f>
        <v>🇦🇷</v>
      </c>
      <c r="N24" s="64" t="str">
        <f ca="1">A21</f>
        <v>Argentina</v>
      </c>
      <c r="O24" s="385">
        <f t="shared" si="11"/>
        <v>1</v>
      </c>
      <c r="P24" s="88"/>
      <c r="Q24" s="150">
        <v>3</v>
      </c>
      <c r="R24" s="4" t="str">
        <f ca="1">VLOOKUP(Q24,$AG$22:$AI$25,3,0)</f>
        <v>Polonia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2</v>
      </c>
      <c r="Y24" s="3">
        <f ca="1">VLOOKUP($R24,$AI$22:$AR$25,8,FALSE)</f>
        <v>6</v>
      </c>
      <c r="Z24" s="151">
        <f ca="1">VLOOKUP($R24,$AI$22:$AR$25,9,FALSE)</f>
        <v>-4</v>
      </c>
      <c r="AA24" s="395">
        <f ca="1">IF(SUM($AK$22:$AK$25)=12,MIN(ABS(BY23-BY24),ABS(BY24-BY25)),100)</f>
        <v>1127000000.0100002</v>
      </c>
      <c r="AB24" s="101" t="str">
        <f ca="1">IF(AND(AA24&gt;=0,AA24&lt;90),VLOOKUP(Q24,$BU$22:$BV$25,2,0),"")</f>
        <v/>
      </c>
      <c r="AC24" s="78"/>
      <c r="AD24" s="79"/>
      <c r="AE24" s="365"/>
      <c r="AF24" s="828">
        <f ca="1">VLOOKUP($R24,$AI$22:$AR$25,10,FALSE)</f>
        <v>3315210499.8800001</v>
      </c>
      <c r="AG24" s="827">
        <f ca="1">RANK(AU24,$AU$22:$AU$25)</f>
        <v>2</v>
      </c>
      <c r="AH24" s="827">
        <f ca="1">RANK(AR24,$AR$22:$AR$25)</f>
        <v>2</v>
      </c>
      <c r="AI24" s="829" t="str">
        <f ca="1">A23</f>
        <v>México</v>
      </c>
      <c r="AJ24" s="827">
        <f ca="1">AL24*3+AM24*1+AN24*0</f>
        <v>4</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1</v>
      </c>
      <c r="AN24" s="827">
        <f t="array" aca="1" ref="AN24" ca="1">SUM(($I$4:$I$65=AI24)*($L$4:$L$65&lt;&gt;"")*($K$4:$K$65&lt;&gt;"")*($K$4:$K$65&lt;$L$4:$L$65),($K$4:$K$65&lt;&gt;"")*($N$4:$N$65=AI24)*($L$4:$L$65&lt;&gt;"")*($K$4:$K$65&gt;$L$4:$L$65))</f>
        <v>1</v>
      </c>
      <c r="AO24" s="827">
        <f t="array" aca="1" ref="AO24" ca="1">SUMIFS($K$4:$K$65,$I$4:$I$65,AI24,$K$4:$K$65,"&lt;&gt;",$L$4:$L$65,"&lt;&gt;")+SUMIFS($L$4:$L$65,$N$4:$N$65,AI24,$K$4:$K$65,"&lt;&gt;",$L$4:$L$65,"&lt;&gt;")</f>
        <v>3</v>
      </c>
      <c r="AP24" s="827">
        <f t="array" aca="1" ref="AP24" ca="1">SUMIFS($K$4:$K$65,$N$4:$N$65,AI24,$K$4:$K$65,"&lt;&gt;",$L$4:$L$65,"&lt;&gt;")+SUMIFS($L$4:$L$65,$I$4:$I$65,AI24,$K$4:$K$65,"&lt;&gt;",$L$4:$L$65,"&lt;&gt;")</f>
        <v>4</v>
      </c>
      <c r="AQ24" s="827">
        <f ca="1">AO24-AP24</f>
        <v>-1</v>
      </c>
      <c r="AR24" s="827">
        <f ca="1">IF(AK24=0,-($AW$11*VLOOKUP(AI24,Tabla3[[NombreEquipo]:[Rank]],3,FALSE)),AJ24*$AW$4+AQ24*$AW$5+AO24*$AW$6+BA24-($AW$11*VLOOKUP(AI24,Tabla3[[NombreEquipo]:[Rank]],3,FALSE)/100))</f>
        <v>4442210499.8900003</v>
      </c>
      <c r="AS24" s="827">
        <f ca="1">AH24</f>
        <v>2</v>
      </c>
      <c r="AT24" s="827"/>
      <c r="AU24" s="827">
        <f ca="1">IFERROR(AR24-VLOOKUP(AI24,$AB$22:$AC$25,2,0),AR24)</f>
        <v>4442210499.8900003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0</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-2</v>
      </c>
      <c r="BK24" s="835">
        <f ca="1">BE24-BF23</f>
        <v>0</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1</v>
      </c>
      <c r="BR24" s="835">
        <v>0</v>
      </c>
      <c r="BS24" s="835">
        <f t="array" aca="1" ref="BS24" ca="1">SUM((I$4:I$49=AY24)*(N$4:N$49=BS21)*(K$4:K$49&lt;&gt;"")*(L$4:L$49&lt;&gt;"")*(K$4:K$49&gt;L$4:L$49)*3,(N$4:N$49=AY24)*(I$4:I$49=BS21)*(K$4:K$49&lt;&gt;"")*(L$4:L$49&lt;&gt;"")*(K$4:K$49=L$4:L$49)*1,(N$4:N$49=AY24)*(I$4:I$49=BS21)*(K$4:K$49&lt;&gt;"")*(L$4:L$49&lt;&gt;"")*(K$4:K$49&lt;L$4:L$49)*3,(I$4:I$49=AY24)*(N$4:N$49=BS21)*(K$4:K$49&lt;&gt;"")*(L$4:L$49&lt;&gt;"")*(K$4:K$49=L$4:L$49)*1)</f>
        <v>3</v>
      </c>
      <c r="BT24" s="829">
        <v>3</v>
      </c>
      <c r="BU24" s="829">
        <f ca="1">RANK(BW24,$BW$22:$BW$25)</f>
        <v>2</v>
      </c>
      <c r="BV24" s="829" t="str">
        <f ca="1">A23</f>
        <v>México</v>
      </c>
      <c r="BW24" s="829">
        <f t="shared" ca="1" si="8"/>
        <v>4442210499.8900003</v>
      </c>
      <c r="BX24" s="829" t="str">
        <f ca="1">VLOOKUP(Q24,$AH$22:$AI$25,2,0)</f>
        <v>Polonia</v>
      </c>
      <c r="BY24" s="829">
        <f ca="1">VLOOKUP($BX24,$AI$22:$AR$25,10,FALSE)</f>
        <v>3315210499.8800001</v>
      </c>
      <c r="CA24" s="829">
        <v>3</v>
      </c>
      <c r="CB24" s="829" t="str">
        <f ca="1">VLOOKUP(CA24,$AH$22:$AI$25,2,0)</f>
        <v>Polonia</v>
      </c>
      <c r="CC24" s="829">
        <f ca="1">VLOOKUP(CB24,$AI$22:$AR$25,2,FALSE)</f>
        <v>3</v>
      </c>
      <c r="CD24" s="836">
        <f ca="1">IF(SUM($AK$22:$AK$25)=12,MIN(ABS(BY23-BY24),ABS(BY24-BY25)),100)</f>
        <v>1127000000.0100002</v>
      </c>
      <c r="CE24" s="829">
        <f ca="1">VLOOKUP($CB24,$AI$22:$AR$25,9,FALSE)</f>
        <v>-4</v>
      </c>
      <c r="CF24" s="829">
        <f ca="1">VLOOKUP($CB24,$AI$22:$AR$25,7,FALSE)</f>
        <v>2</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30"/>
      <c r="F25" s="65">
        <f>Horarios!C25</f>
        <v>44895.916666666664</v>
      </c>
      <c r="G25" s="66">
        <f>Horarios!C25</f>
        <v>44895.916666666664</v>
      </c>
      <c r="H25" s="65" t="s">
        <v>74</v>
      </c>
      <c r="I25" s="67" t="str">
        <f ca="1">A22</f>
        <v>Arabia Saudita</v>
      </c>
      <c r="J25" s="68" t="str">
        <f ca="1">VLOOKUP(I25,Equipos!$H$2:$I$33,2,0)</f>
        <v>🇸🇦</v>
      </c>
      <c r="K25" s="69">
        <v>0</v>
      </c>
      <c r="L25" s="69">
        <v>0</v>
      </c>
      <c r="M25" s="374" t="str">
        <f ca="1">VLOOKUP(N25,Equipos!$H$2:$I$33,2,0)</f>
        <v>🇲🇽</v>
      </c>
      <c r="N25" s="70" t="str">
        <f ca="1">A23</f>
        <v>México</v>
      </c>
      <c r="O25" s="385">
        <f t="shared" si="11"/>
        <v>1</v>
      </c>
      <c r="P25" s="88"/>
      <c r="Q25" s="152">
        <v>4</v>
      </c>
      <c r="R25" s="153" t="str">
        <f ca="1">VLOOKUP(Q25,$AG$22:$AI$25,3,0)</f>
        <v>Arabia Saudita</v>
      </c>
      <c r="S25" s="154">
        <f ca="1">VLOOKUP(R25,$AI$22:$AR$25,2,FALSE)</f>
        <v>1</v>
      </c>
      <c r="T25" s="154">
        <f ca="1">VLOOKUP($R25,$AI$22:$AR$25,3,FALSE)</f>
        <v>3</v>
      </c>
      <c r="U25" s="154">
        <f ca="1">VLOOKUP($R25,$AI$22:$AR$25,4,FALSE)</f>
        <v>0</v>
      </c>
      <c r="V25" s="154">
        <f ca="1">VLOOKUP($R25,$AI$22:$AR$25,5,FALSE)</f>
        <v>1</v>
      </c>
      <c r="W25" s="154">
        <f ca="1">VLOOKUP($R25,$AI$22:$AR$25,6,FALSE)</f>
        <v>2</v>
      </c>
      <c r="X25" s="154">
        <f ca="1">VLOOKUP($R25,$AI$22:$AR$25,7,FALSE)</f>
        <v>0</v>
      </c>
      <c r="Y25" s="154">
        <f ca="1">VLOOKUP($R25,$AI$22:$AR$25,8,FALSE)</f>
        <v>5</v>
      </c>
      <c r="Z25" s="155">
        <f ca="1">VLOOKUP($R25,$AI$22:$AR$25,9,FALSE)</f>
        <v>-5</v>
      </c>
      <c r="AA25" s="395">
        <f ca="1">IF(SUM($AK$22:$AK$25)=12,MIN(ABS(BY24-BY25),ABS(BY25-BY26)),100)</f>
        <v>1086210499.9000001</v>
      </c>
      <c r="AB25" s="101" t="str">
        <f ca="1">IF(AND(AA25&gt;=0,AA25&lt;90),VLOOKUP(Q25,$BU$22:$BV$25,2,0),"")</f>
        <v/>
      </c>
      <c r="AC25" s="78"/>
      <c r="AD25" s="79"/>
      <c r="AE25" s="365"/>
      <c r="AF25" s="828">
        <f ca="1">VLOOKUP($R25,$AI$22:$AR$25,10,FALSE)</f>
        <v>1086210499.9000001</v>
      </c>
      <c r="AG25" s="827">
        <f ca="1">RANK(AU25,$AU$22:$AU$25)</f>
        <v>3</v>
      </c>
      <c r="AH25" s="827">
        <f ca="1">RANK(AR25,$AR$22:$AR$25)</f>
        <v>3</v>
      </c>
      <c r="AI25" s="829" t="str">
        <f ca="1">A24</f>
        <v>Polonia</v>
      </c>
      <c r="AJ25" s="827">
        <f ca="1">AL25*3+AM25*1+AN25*0</f>
        <v>3</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0</v>
      </c>
      <c r="AN25" s="827">
        <f t="array" aca="1" ref="AN25" ca="1">SUM(($I$4:$I$65=AI25)*($L$4:$L$65&lt;&gt;"")*($K$4:$K$65&lt;&gt;"")*($K$4:$K$65&lt;$L$4:$L$65),($K$4:$K$65&lt;&gt;"")*($N$4:$N$65=AI25)*($L$4:$L$65&lt;&gt;"")*($K$4:$K$65&gt;$L$4:$L$65))</f>
        <v>2</v>
      </c>
      <c r="AO25" s="827">
        <f t="array" aca="1" ref="AO25" ca="1">SUMIFS($K$4:$K$65,$I$4:$I$65,AI25,$K$4:$K$65,"&lt;&gt;",$L$4:$L$65,"&lt;&gt;")+SUMIFS($L$4:$L$65,$N$4:$N$65,AI25,$K$4:$K$65,"&lt;&gt;",$L$4:$L$65,"&lt;&gt;")</f>
        <v>2</v>
      </c>
      <c r="AP25" s="827">
        <f t="array" aca="1" ref="AP25" ca="1">SUMIFS($K$4:$K$65,$N$4:$N$65,AI25,$K$4:$K$65,"&lt;&gt;",$L$4:$L$65,"&lt;&gt;")+SUMIFS($L$4:$L$65,$I$4:$I$65,AI25,$K$4:$K$65,"&lt;&gt;",$L$4:$L$65,"&lt;&gt;")</f>
        <v>6</v>
      </c>
      <c r="AQ25" s="827">
        <f ca="1">AO25-AP25</f>
        <v>-4</v>
      </c>
      <c r="AR25" s="827">
        <f ca="1">IF(AK25=0,-($AW$11*VLOOKUP(AI25,Tabla3[[NombreEquipo]:[Rank]],3,FALSE)),AJ25*$AW$4+AQ25*$AW$5+AO25*$AW$6+BA25-($AW$11*VLOOKUP(AI25,Tabla3[[NombreEquipo]:[Rank]],3,FALSE)/100))</f>
        <v>3315210499.8800001</v>
      </c>
      <c r="AS25" s="827">
        <f ca="1">AH25</f>
        <v>3</v>
      </c>
      <c r="AT25" s="827"/>
      <c r="AU25" s="827">
        <f ca="1">IFERROR(AR25-VLOOKUP(AI25,$AB$22:$AC$25,2,0),AR25)</f>
        <v>3315210499.8800001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1</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-4</v>
      </c>
      <c r="BK25" s="835">
        <f ca="1">BE25-BG23</f>
        <v>1</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0</v>
      </c>
      <c r="BS25" s="835">
        <v>0</v>
      </c>
      <c r="BT25" s="829">
        <v>4</v>
      </c>
      <c r="BU25" s="829">
        <f ca="1">RANK(BW25,$BW$22:$BW$25)</f>
        <v>3</v>
      </c>
      <c r="BV25" s="829" t="str">
        <f ca="1">A24</f>
        <v>Polonia</v>
      </c>
      <c r="BW25" s="829">
        <f t="shared" ca="1" si="8"/>
        <v>3315210499.8800001</v>
      </c>
      <c r="BX25" s="829" t="str">
        <f ca="1">VLOOKUP(Q25,$AH$22:$AI$25,2,0)</f>
        <v>Arabia Saudita</v>
      </c>
      <c r="BY25" s="829">
        <f ca="1">VLOOKUP($BX25,$AI$22:$AR$25,10,FALSE)</f>
        <v>1086210499.9000001</v>
      </c>
      <c r="CA25" s="829">
        <v>4</v>
      </c>
      <c r="CB25" s="829" t="str">
        <f ca="1">VLOOKUP(CA25,$AH$22:$AI$25,2,0)</f>
        <v>Arabia Saudita</v>
      </c>
      <c r="CC25" s="829">
        <f ca="1">VLOOKUP(CB25,$AI$22:$AR$25,2,FALSE)</f>
        <v>1</v>
      </c>
      <c r="CD25" s="836">
        <f ca="1">IF(SUM($AK$22:$AK$25)=12,MIN(ABS(BY24-BY25),ABS(BY25-BY26)),100)</f>
        <v>1086210499.9000001</v>
      </c>
      <c r="CE25" s="829">
        <f ca="1">VLOOKUP($CB25,$AI$22:$AR$25,9,FALSE)</f>
        <v>-5</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44887.666666666664</v>
      </c>
      <c r="G28" s="248">
        <f>Horarios!C28</f>
        <v>44887.666666666664</v>
      </c>
      <c r="H28" s="247" t="s">
        <v>72</v>
      </c>
      <c r="I28" s="249" t="str">
        <f ca="1">A30</f>
        <v>Dinamarca</v>
      </c>
      <c r="J28" s="250" t="str">
        <f ca="1">VLOOKUP(I28,Equipos!$H$2:$I$33,2,0)</f>
        <v>🇩🇰</v>
      </c>
      <c r="K28" s="251">
        <v>1</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4</v>
      </c>
      <c r="CT28" s="827">
        <f t="shared" ca="1" si="17"/>
        <v>0</v>
      </c>
      <c r="CU28" s="827">
        <f t="shared" ca="1" si="17"/>
        <v>0</v>
      </c>
      <c r="CV28" s="827">
        <f t="shared" ca="1" si="17"/>
        <v>0</v>
      </c>
      <c r="CW28" s="827">
        <f t="shared" ca="1" si="17"/>
        <v>1</v>
      </c>
      <c r="CX28" s="827">
        <f t="shared" ca="1" si="17"/>
        <v>1</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72</v>
      </c>
      <c r="I29" s="244" t="str">
        <f ca="1">A29</f>
        <v>Francia</v>
      </c>
      <c r="J29" s="245" t="str">
        <f ca="1">VLOOKUP(I29,Equipos!$H$2:$I$33,2,0)</f>
        <v>🇫🇷</v>
      </c>
      <c r="K29" s="246">
        <v>4</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73</v>
      </c>
      <c r="I30" s="244" t="str">
        <f ca="1">A31</f>
        <v>Túnez</v>
      </c>
      <c r="J30" s="245" t="str">
        <f ca="1">VLOOKUP(I30,Equipos!$H$2:$I$33,2,0)</f>
        <v>🇹🇳</v>
      </c>
      <c r="K30" s="246">
        <v>0</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11</v>
      </c>
      <c r="Y30" s="302">
        <f ca="1">VLOOKUP($R30,$AI$30:$AR$33,8,FALSE)</f>
        <v>2</v>
      </c>
      <c r="Z30" s="303">
        <f ca="1">VLOOKUP($R30,$AI$30:$AR$33,9,FALSE)</f>
        <v>9</v>
      </c>
      <c r="AA30" s="395">
        <f ca="1">IF(SUM($AK$30:$AK$33)=12,MIN(ABS(BY29-BY30),ABS(BY30-BY31)),100)</f>
        <v>5625000000.0300007</v>
      </c>
      <c r="AB30" s="101" t="str">
        <f ca="1">IF(AND(AA30&gt;=0,AA30&lt;90),VLOOKUP(Q30,$BU$30:$BV$33,2,0),"")</f>
        <v/>
      </c>
      <c r="AC30" s="78"/>
      <c r="AD30" s="79"/>
      <c r="AE30" s="365"/>
      <c r="AF30" s="828">
        <f ca="1">VLOOKUP($R30,$AI$30:$AR$33,10,FALSE)</f>
        <v>10055210499.870001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11</v>
      </c>
      <c r="AP30" s="827">
        <f t="array" aca="1" ref="AP30" ca="1">SUMIFS($K$4:$K$65,$N$4:$N$65,AI30,$K$4:$K$65,"&lt;&gt;",$L$4:$L$65,"&lt;&gt;")+SUMIFS($L$4:$L$65,$I$4:$I$65,AI30,$K$4:$K$65,"&lt;&gt;",$L$4:$L$65,"&lt;&gt;")</f>
        <v>2</v>
      </c>
      <c r="AQ30" s="827">
        <f ca="1">AO30-AP30</f>
        <v>9</v>
      </c>
      <c r="AR30" s="827">
        <f ca="1">IF(AK30=0,-($AW$11*VLOOKUP(AI30,Tabla3[[NombreEquipo]:[Rank]],3,FALSE)),AJ30*$AW$4+AQ30*$AW$5+AO30*$AW$6+BA30-($AW$11*VLOOKUP(AI30,Tabla3[[NombreEquipo]:[Rank]],3,FALSE)/100))</f>
        <v>10055210499.870001</v>
      </c>
      <c r="AS30" s="827">
        <f ca="1">AH30</f>
        <v>1</v>
      </c>
      <c r="AT30" s="827"/>
      <c r="AU30" s="827">
        <f ca="1">IFERROR(AR30-VLOOKUP(AI30,$AB$30:$AC$33,2,0),AR30)</f>
        <v>10055210499.870001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3</v>
      </c>
      <c r="BF30" s="835">
        <f t="array" aca="1" ref="BF30" ca="1">SUMIFS($K$28:$K$33,$I$28:$I$33,$AY30,$K$28:$K$33,"&lt;&gt;",$L$28:$L$33,"&lt;&gt;",$N$28:$N$33,BF29)+SUMIFS($L$28:$L$33,$I$28:$I$33,BF29,$K$28:$K$33,"&lt;&gt;",$L$28:$L$33,"&lt;&gt;",$N$28:$N$33,$AY30)</f>
        <v>4</v>
      </c>
      <c r="BG30" s="835">
        <f t="array" aca="1" ref="BG30" ca="1">SUMIFS($K$28:$K$33,$I$28:$I$33,$AY30,$K$28:$K$33,"&lt;&gt;",$L$28:$L$33,"&lt;&gt;",$N$28:$N$33,BG29)+SUMIFS($L$28:$L$33,$I$28:$I$33,BG29,$K$28:$K$33,"&lt;&gt;",$L$28:$L$33,"&lt;&gt;",$N$28:$N$33,$AY30)</f>
        <v>4</v>
      </c>
      <c r="BH30" s="835">
        <f ca="1">RANK(BI30,BI30:BI33,1)</f>
        <v>1</v>
      </c>
      <c r="BI30" s="835">
        <f ca="1">SUM(IF(AND(AJ30=AJ31,AQ30=AQ31,AO30=AO31),BK30,0),IF(AND(AJ30=AJ32,AQ30=AQ32,AO30=AO32),BL30,0),IF(AND(AJ30=AJ33,AQ30=AQ33,AO30=AO33),BM30,0))</f>
        <v>0</v>
      </c>
      <c r="BJ30" s="835">
        <v>0</v>
      </c>
      <c r="BK30" s="835">
        <f ca="1">BE30-BD31</f>
        <v>2</v>
      </c>
      <c r="BL30" s="835">
        <f ca="1">BF30-BD32</f>
        <v>3</v>
      </c>
      <c r="BM30" s="835">
        <f ca="1">BG30-BD33</f>
        <v>4</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10055210499.870001</v>
      </c>
      <c r="BX30" s="829" t="str">
        <f ca="1">VLOOKUP(Q30,$AH$30:$AI$33,2,0)</f>
        <v>Francia</v>
      </c>
      <c r="BY30" s="829">
        <f ca="1">VLOOKUP($BX30,$AI$30:$AR$33,10,FALSE)</f>
        <v>10055210499.870001</v>
      </c>
      <c r="CA30" s="829">
        <v>1</v>
      </c>
      <c r="CB30" s="829" t="str">
        <f ca="1">VLOOKUP(CA30,$AH$30:$AI$33,2,0)</f>
        <v>Francia</v>
      </c>
      <c r="CC30" s="829">
        <f ca="1">VLOOKUP(CB30,$AI$30:$AR$33,2,FALSE)</f>
        <v>9</v>
      </c>
      <c r="CD30" s="836">
        <f ca="1">IF(SUM($AK$30:$AK$33)=12,MIN(ABS(BY29-BY30),ABS(BY30-BY31)),100)</f>
        <v>5625000000.0300007</v>
      </c>
      <c r="CE30" s="829">
        <f ca="1">VLOOKUP($CB30,$AI$30:$AR$33,9,FALSE)</f>
        <v>9</v>
      </c>
      <c r="CF30" s="829">
        <f ca="1">VLOOKUP($CB30,$AI$30:$AR$33,7,FALSE)</f>
        <v>11</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73</v>
      </c>
      <c r="I31" s="244" t="str">
        <f ca="1">A29</f>
        <v>Francia</v>
      </c>
      <c r="J31" s="245" t="str">
        <f ca="1">VLOOKUP(I31,Equipos!$H$2:$I$33,2,0)</f>
        <v>🇫🇷</v>
      </c>
      <c r="K31" s="246">
        <v>3</v>
      </c>
      <c r="L31" s="246">
        <v>1</v>
      </c>
      <c r="M31" s="376" t="str">
        <f ca="1">VLOOKUP(N31,Equipos!$H$2:$I$33,2,0)</f>
        <v>🇩🇰</v>
      </c>
      <c r="N31" s="253" t="str">
        <f ca="1">A30</f>
        <v>Dinamarca</v>
      </c>
      <c r="O31" s="385">
        <f t="shared" si="18"/>
        <v>1</v>
      </c>
      <c r="P31" s="88"/>
      <c r="Q31" s="281">
        <v>2</v>
      </c>
      <c r="R31" s="4" t="str">
        <f ca="1">VLOOKUP(Q31,$AG$30:$AI$33,3,0)</f>
        <v>Australia</v>
      </c>
      <c r="S31" s="3">
        <f ca="1">VLOOKUP(R31,$AI$30:$AR$33,2,FALSE)</f>
        <v>4</v>
      </c>
      <c r="T31" s="3">
        <f ca="1">VLOOKUP($R31,$AI$30:$AR$33,3,FALSE)</f>
        <v>3</v>
      </c>
      <c r="U31" s="3">
        <f ca="1">VLOOKUP($R31,$AI$30:$AR$33,4,FALSE)</f>
        <v>1</v>
      </c>
      <c r="V31" s="3">
        <f ca="1">VLOOKUP($R31,$AI$30:$AR$33,5,FALSE)</f>
        <v>1</v>
      </c>
      <c r="W31" s="3">
        <f ca="1">VLOOKUP($R31,$AI$30:$AR$33,6,FALSE)</f>
        <v>1</v>
      </c>
      <c r="X31" s="3">
        <f ca="1">VLOOKUP($R31,$AI$30:$AR$33,7,FALSE)</f>
        <v>1</v>
      </c>
      <c r="Y31" s="3">
        <f ca="1">VLOOKUP($R31,$AI$30:$AR$33,8,FALSE)</f>
        <v>4</v>
      </c>
      <c r="Z31" s="282">
        <f ca="1">VLOOKUP($R31,$AI$30:$AR$33,9,FALSE)</f>
        <v>-3</v>
      </c>
      <c r="AA31" s="395">
        <f ca="1">IF(SUM($AK$30:$AK$33)=12,MIN(ABS(BY30-BY31),ABS(BY31-BY32)),100)</f>
        <v>2215999999.98</v>
      </c>
      <c r="AB31" s="101" t="str">
        <f ca="1">IF(AND(AA31&gt;=0,AA31&lt;90),VLOOKUP(Q31,$BU$30:$BV$33,2,0),"")</f>
        <v/>
      </c>
      <c r="AC31" s="78"/>
      <c r="AD31" s="79"/>
      <c r="AE31" s="365"/>
      <c r="AF31" s="828">
        <f ca="1">VLOOKUP($R31,$AI$30:$AR$33,10,FALSE)</f>
        <v>4430210499.8400002</v>
      </c>
      <c r="AG31" s="827">
        <f ca="1">RANK(AU31,$AU$30:$AU$33)</f>
        <v>3</v>
      </c>
      <c r="AH31" s="827">
        <f ca="1">RANK(AR31,$AR$30:$AR$33)</f>
        <v>3</v>
      </c>
      <c r="AI31" s="829" t="str">
        <f ca="1">A30</f>
        <v>Dinamarca</v>
      </c>
      <c r="AJ31" s="827">
        <f ca="1">AL31*3+AM31*1+AN31*0</f>
        <v>2</v>
      </c>
      <c r="AK31" s="827">
        <f ca="1">COUNTIFS($I$4:$I$65,AI31,$K$4:$K$65,"&lt;&gt;",$L$4:$L$65,"&lt;&gt;")+COUNTIFS($N$4:$N$65,AI31,$L$4:$L$65,"&lt;&gt;",$K$4:$K$65,"&lt;&gt;")</f>
        <v>3</v>
      </c>
      <c r="AL31" s="827">
        <f t="array" aca="1" ref="AL31" ca="1">SUM(($I$4:$I$65=AI31)*($K$4:$K$65&lt;&gt;"")*($L$4:$L$65&lt;&gt;"")*($K$4:$K$65&gt;$L$4:$L$65),($N$4:$N$65=AI31)*($K$4:$K$65&lt;&gt;"")*($L$4:$L$65&lt;&gt;"")*($K$4:$K$65&lt;$L$4:$L$65))</f>
        <v>0</v>
      </c>
      <c r="AM31" s="827">
        <f t="array" aca="1" ref="AM31" ca="1">SUM(($I$4:$I$65=AI31)*($K$4:$K$65&lt;&gt;"")*($L$4:$L$65&lt;&gt;"")*($K$4:$K$65=$L$4:$L$65),($N$4:$N$65=AI31)*($K$4:$K$65&lt;&gt;"")*($L$4:$L$65&lt;&gt;"")*($K$4:$K$65=$L$4:$L$65))</f>
        <v>2</v>
      </c>
      <c r="AN31" s="827">
        <f t="array" aca="1" ref="AN31" ca="1">SUM(($I$4:$I$65=AI31)*($L$4:$L$65&lt;&gt;"")*($K$4:$K$65&lt;&gt;"")*($K$4:$K$65&lt;$L$4:$L$65),($K$4:$K$65&lt;&gt;"")*($N$4:$N$65=AI31)*($L$4:$L$65&lt;&gt;"")*($K$4:$K$65&gt;$L$4:$L$65))</f>
        <v>1</v>
      </c>
      <c r="AO31" s="827">
        <f t="array" aca="1" ref="AO31" ca="1">SUMIFS($K$4:$K$65,$I$4:$I$65,AI31,$K$4:$K$65,"&lt;&gt;",$L$4:$L$65,"&lt;&gt;")+SUMIFS($L$4:$L$65,$N$4:$N$65,AI31,$K$4:$K$65,"&lt;&gt;",$L$4:$L$65,"&lt;&gt;")</f>
        <v>2</v>
      </c>
      <c r="AP31" s="827">
        <f t="array" aca="1" ref="AP31" ca="1">SUMIFS($K$4:$K$65,$N$4:$N$65,AI31,$K$4:$K$65,"&lt;&gt;",$L$4:$L$65,"&lt;&gt;")+SUMIFS($L$4:$L$65,$I$4:$I$65,AI31,$K$4:$K$65,"&lt;&gt;",$L$4:$L$65,"&lt;&gt;")</f>
        <v>4</v>
      </c>
      <c r="AQ31" s="827">
        <f ca="1">AO31-AP31</f>
        <v>-2</v>
      </c>
      <c r="AR31" s="827">
        <f ca="1">IF(AK31=0,-($AW$11*VLOOKUP(AI31,Tabla3[[NombreEquipo]:[Rank]],3,FALSE)),AJ31*$AW$4+AQ31*$AW$5+AO31*$AW$6+BA31-($AW$11*VLOOKUP(AI31,Tabla3[[NombreEquipo]:[Rank]],3,FALSE)/100))</f>
        <v>2214210499.8600001</v>
      </c>
      <c r="AS31" s="827">
        <f ca="1">AH31</f>
        <v>3</v>
      </c>
      <c r="AT31" s="827"/>
      <c r="AU31" s="827">
        <f ca="1">IFERROR(AR31-VLOOKUP(AI31,$AB$30:$AC$33,2,0),AR31)</f>
        <v>2214210499.8600001</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1</v>
      </c>
      <c r="BG31" s="835">
        <f t="array" aca="1" ref="BG31" ca="1">SUMIFS($K$28:$K$33,$I$28:$I$33,$AY31,$K$28:$K$33,"&lt;&gt;",$L$28:$L$33,"&lt;&gt;",$N$28:$N$33,BG29)+SUMIFS($L$28:$L$33,$I$28:$I$33,BG29,$K$28:$K$33,"&lt;&gt;",$L$28:$L$33,"&lt;&gt;",$N$28:$N$33,$AY31)</f>
        <v>0</v>
      </c>
      <c r="BH31" s="835">
        <f ca="1">RANK(BI31,BI30:BI33,1)</f>
        <v>1</v>
      </c>
      <c r="BI31" s="835">
        <f ca="1">SUM(IF(AND(AJ31=AJ32,AQ31=AQ32,AO31=AO32),BL31,0),IF(AND(AJ31=AJ33,AQ31=AQ33,AO31=AO33),BM31,0),IF(AND(AJ31=AJ30,AQ31=AQ30,AO31=AO30),BJ31,0))</f>
        <v>0</v>
      </c>
      <c r="BJ31" s="835">
        <f ca="1">BD31-BE30</f>
        <v>-2</v>
      </c>
      <c r="BK31" s="835">
        <v>0</v>
      </c>
      <c r="BL31" s="835">
        <f ca="1">BF31-BE32</f>
        <v>0</v>
      </c>
      <c r="BM31" s="835">
        <f ca="1">BG31-BE33</f>
        <v>0</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1</v>
      </c>
      <c r="BS31" s="835">
        <f t="array" aca="1" ref="BS31" ca="1">SUM((I$4:I$49=AY31)*(N$4:N$49=BS29)*(K$4:K$49&lt;&gt;"")*(L$4:L$49&lt;&gt;"")*(K$4:K$49&gt;L$4:L$49)*3,(N$4:N$49=AY31)*(I$4:I$49=BS29)*(K$4:K$49&lt;&gt;"")*(L$4:L$49&lt;&gt;"")*(K$4:K$49=L$4:L$49)*1,(N$4:N$49=AY31)*(I$4:I$49=BS29)*(K$4:K$49&lt;&gt;"")*(L$4:L$49&lt;&gt;"")*(K$4:K$49&lt;L$4:L$49)*3,(I$4:I$49=AY31)*(N$4:N$49=BS29)*(K$4:K$49&lt;&gt;"")*(L$4:L$49&lt;&gt;"")*(K$4:K$49=L$4:L$49)*1)</f>
        <v>1</v>
      </c>
      <c r="BT31" s="829">
        <v>2</v>
      </c>
      <c r="BU31" s="829">
        <f ca="1">RANK(BW31,$BW$30:$BW$33)</f>
        <v>3</v>
      </c>
      <c r="BV31" s="829" t="str">
        <f ca="1">A30</f>
        <v>Dinamarca</v>
      </c>
      <c r="BW31" s="829">
        <f t="shared" ca="1" si="8"/>
        <v>2214210499.8600001</v>
      </c>
      <c r="BX31" s="829" t="str">
        <f ca="1">VLOOKUP(Q31,$AH$30:$AI$33,2,0)</f>
        <v>Australia</v>
      </c>
      <c r="BY31" s="829">
        <f ca="1">VLOOKUP($BX31,$AI$30:$AR$33,10,FALSE)</f>
        <v>4430210499.8400002</v>
      </c>
      <c r="CA31" s="829">
        <v>2</v>
      </c>
      <c r="CB31" s="829" t="str">
        <f ca="1">VLOOKUP(CA31,$AH$30:$AI$33,2,0)</f>
        <v>Australia</v>
      </c>
      <c r="CC31" s="829">
        <f ca="1">VLOOKUP(CB31,$AI$30:$AR$33,2,FALSE)</f>
        <v>4</v>
      </c>
      <c r="CD31" s="836">
        <f ca="1">IF(SUM($AK$30:$AK$33)=12,MIN(ABS(BY30-BY31),ABS(BY31-BY32)),100)</f>
        <v>2215999999.98</v>
      </c>
      <c r="CE31" s="829">
        <f ca="1">VLOOKUP($CB31,$AI$30:$AR$33,9,FALSE)</f>
        <v>-3</v>
      </c>
      <c r="CF31" s="829">
        <f ca="1">VLOOKUP($CB31,$AI$30:$AR$33,7,FALSE)</f>
        <v>1</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74</v>
      </c>
      <c r="I32" s="244" t="str">
        <f ca="1">A32</f>
        <v>Australia</v>
      </c>
      <c r="J32" s="245" t="str">
        <f ca="1">VLOOKUP(I32,Equipos!$H$2:$I$33,2,0)</f>
        <v>🇦🇺</v>
      </c>
      <c r="K32" s="246">
        <v>0</v>
      </c>
      <c r="L32" s="246">
        <v>0</v>
      </c>
      <c r="M32" s="376" t="str">
        <f ca="1">VLOOKUP(N32,Equipos!$H$2:$I$33,2,0)</f>
        <v>🇩🇰</v>
      </c>
      <c r="N32" s="253" t="str">
        <f ca="1">A30</f>
        <v>Dinamarca</v>
      </c>
      <c r="O32" s="385">
        <f t="shared" si="18"/>
        <v>1</v>
      </c>
      <c r="P32" s="88"/>
      <c r="Q32" s="281">
        <v>3</v>
      </c>
      <c r="R32" s="4" t="str">
        <f ca="1">VLOOKUP(Q32,$AG$30:$AI$33,3,0)</f>
        <v>Dinamarca</v>
      </c>
      <c r="S32" s="3">
        <f ca="1">VLOOKUP(R32,$AI$30:$AR$33,2,FALSE)</f>
        <v>2</v>
      </c>
      <c r="T32" s="3">
        <f ca="1">VLOOKUP($R32,$AI$30:$AR$33,3,FALSE)</f>
        <v>3</v>
      </c>
      <c r="U32" s="3">
        <f ca="1">VLOOKUP($R32,$AI$30:$AR$33,4,FALSE)</f>
        <v>0</v>
      </c>
      <c r="V32" s="3">
        <f ca="1">VLOOKUP($R32,$AI$30:$AR$33,5,FALSE)</f>
        <v>2</v>
      </c>
      <c r="W32" s="3">
        <f ca="1">VLOOKUP($R32,$AI$30:$AR$33,6,FALSE)</f>
        <v>1</v>
      </c>
      <c r="X32" s="3">
        <f ca="1">VLOOKUP($R32,$AI$30:$AR$33,7,FALSE)</f>
        <v>2</v>
      </c>
      <c r="Y32" s="3">
        <f ca="1">VLOOKUP($R32,$AI$30:$AR$33,8,FALSE)</f>
        <v>4</v>
      </c>
      <c r="Z32" s="282">
        <f ca="1">VLOOKUP($R32,$AI$30:$AR$33,9,FALSE)</f>
        <v>-2</v>
      </c>
      <c r="AA32" s="395">
        <f ca="1">IF(SUM($AK$30:$AK$33)=12,MIN(ABS(BY31-BY32),ABS(BY32-BY33)),100)</f>
        <v>1121000000.0100002</v>
      </c>
      <c r="AB32" s="101" t="str">
        <f ca="1">IF(AND(AA32&gt;=0,AA32&lt;90),VLOOKUP(Q32,$BU$30:$BV$33,2,0),"")</f>
        <v/>
      </c>
      <c r="AC32" s="78"/>
      <c r="AD32" s="79"/>
      <c r="AE32" s="365"/>
      <c r="AF32" s="828">
        <f ca="1">VLOOKUP($R32,$AI$30:$AR$33,10,FALSE)</f>
        <v>2214210499.8600001</v>
      </c>
      <c r="AG32" s="827">
        <f ca="1">RANK(AU32,$AU$30:$AU$33)</f>
        <v>4</v>
      </c>
      <c r="AH32" s="827">
        <f ca="1">RANK(AR32,$AR$30:$AR$33)</f>
        <v>4</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2</v>
      </c>
      <c r="AP32" s="827">
        <f t="array" aca="1" ref="AP32" ca="1">SUMIFS($K$4:$K$65,$N$4:$N$65,AI32,$K$4:$K$65,"&lt;&gt;",$L$4:$L$65,"&lt;&gt;")+SUMIFS($L$4:$L$65,$I$4:$I$65,AI32,$K$4:$K$65,"&lt;&gt;",$L$4:$L$65,"&lt;&gt;")</f>
        <v>6</v>
      </c>
      <c r="AQ32" s="827">
        <f ca="1">AO32-AP32</f>
        <v>-4</v>
      </c>
      <c r="AR32" s="827">
        <f ca="1">IF(AK32=0,-($AW$11*VLOOKUP(AI32,Tabla3[[NombreEquipo]:[Rank]],3,FALSE)),AJ32*$AW$4+AQ32*$AW$5+AO32*$AW$6+BA32-($AW$11*VLOOKUP(AI32,Tabla3[[NombreEquipo]:[Rank]],3,FALSE)/100))</f>
        <v>1093210499.8499999</v>
      </c>
      <c r="AS32" s="827">
        <f ca="1">AH32</f>
        <v>4</v>
      </c>
      <c r="AT32" s="827"/>
      <c r="AU32" s="827">
        <f ca="1">IFERROR(AR32-VLOOKUP(AI32,$AB$30:$AC$33,2,0),AR32)</f>
        <v>1093210499.8499999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0</v>
      </c>
      <c r="BH32" s="835">
        <f ca="1">RANK(BI32,BI30:BI33,1)</f>
        <v>1</v>
      </c>
      <c r="BI32" s="835">
        <f ca="1">SUM(IF(AND(AJ32=AJ33,AQ32=AQ33,AO32=AO33),BM32,0),IF(AND(AJ32=AJ30,AQ32=AQ30,AO32=AO30),BJ32,0),IF(AND(AJ32=AJ31,AQ32=AQ31,AO32=AO31),BK32,0))</f>
        <v>0</v>
      </c>
      <c r="BJ32" s="835">
        <f ca="1">BD32-BF30</f>
        <v>-3</v>
      </c>
      <c r="BK32" s="835">
        <f ca="1">BE32-BF31</f>
        <v>0</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1</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4</v>
      </c>
      <c r="BV32" s="829" t="str">
        <f ca="1">A31</f>
        <v>Túnez</v>
      </c>
      <c r="BW32" s="829">
        <f t="shared" ca="1" si="8"/>
        <v>1093210499.8499999</v>
      </c>
      <c r="BX32" s="829" t="str">
        <f ca="1">VLOOKUP(Q32,$AH$30:$AI$33,2,0)</f>
        <v>Dinamarca</v>
      </c>
      <c r="BY32" s="829">
        <f ca="1">VLOOKUP($BX32,$AI$30:$AR$33,10,FALSE)</f>
        <v>2214210499.8600001</v>
      </c>
      <c r="CA32" s="829">
        <v>3</v>
      </c>
      <c r="CB32" s="829" t="str">
        <f ca="1">VLOOKUP(CA32,$AH$30:$AI$33,2,0)</f>
        <v>Dinamarca</v>
      </c>
      <c r="CC32" s="829">
        <f ca="1">VLOOKUP(CB32,$AI$30:$AR$33,2,FALSE)</f>
        <v>2</v>
      </c>
      <c r="CD32" s="836">
        <f ca="1">IF(SUM($AK$30:$AK$33)=12,MIN(ABS(BY31-BY32),ABS(BY32-BY33)),100)</f>
        <v>1121000000.0100002</v>
      </c>
      <c r="CE32" s="829">
        <f ca="1">VLOOKUP($CB32,$AI$30:$AR$33,9,FALSE)</f>
        <v>-2</v>
      </c>
      <c r="CF32" s="829">
        <f ca="1">VLOOKUP($CB32,$AI$30:$AR$33,7,FALSE)</f>
        <v>2</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3"/>
      <c r="F33" s="254">
        <f>Horarios!C33</f>
        <v>44895.75</v>
      </c>
      <c r="G33" s="255">
        <f>Horarios!C33</f>
        <v>44895.75</v>
      </c>
      <c r="H33" s="254" t="s">
        <v>74</v>
      </c>
      <c r="I33" s="256" t="str">
        <f ca="1">A31</f>
        <v>Túnez</v>
      </c>
      <c r="J33" s="257" t="str">
        <f ca="1">VLOOKUP(I33,Equipos!$H$2:$I$33,2,0)</f>
        <v>🇹🇳</v>
      </c>
      <c r="K33" s="258">
        <v>1</v>
      </c>
      <c r="L33" s="258">
        <v>4</v>
      </c>
      <c r="M33" s="377" t="str">
        <f ca="1">VLOOKUP(N33,Equipos!$H$2:$I$33,2,0)</f>
        <v>🇫🇷</v>
      </c>
      <c r="N33" s="259" t="str">
        <f ca="1">A29</f>
        <v>Francia</v>
      </c>
      <c r="O33" s="385">
        <f t="shared" si="18"/>
        <v>1</v>
      </c>
      <c r="P33" s="88"/>
      <c r="Q33" s="283">
        <v>4</v>
      </c>
      <c r="R33" s="284" t="str">
        <f ca="1">VLOOKUP(Q33,$AG$30:$AI$33,3,0)</f>
        <v>Túnez</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2</v>
      </c>
      <c r="Y33" s="285">
        <f ca="1">VLOOKUP($R33,$AI$30:$AR$33,8,FALSE)</f>
        <v>6</v>
      </c>
      <c r="Z33" s="286">
        <f ca="1">VLOOKUP($R33,$AI$30:$AR$33,9,FALSE)</f>
        <v>-4</v>
      </c>
      <c r="AA33" s="395">
        <f ca="1">IF(SUM($AK$30:$AK$33)=12,MIN(ABS(BY32-BY33),ABS(BY33-BY34)),100)</f>
        <v>1093210499.8499999</v>
      </c>
      <c r="AB33" s="101" t="str">
        <f ca="1">IF(AND(AA33&gt;=0,AA33&lt;90),VLOOKUP(Q33,$BU$30:$BV$33,2,0),"")</f>
        <v/>
      </c>
      <c r="AC33" s="78"/>
      <c r="AD33" s="79"/>
      <c r="AE33" s="365"/>
      <c r="AF33" s="828">
        <f ca="1">VLOOKUP($R33,$AI$30:$AR$33,10,FALSE)</f>
        <v>1093210499.8499999</v>
      </c>
      <c r="AG33" s="827">
        <f ca="1">RANK(AU33,$AU$30:$AU$33)</f>
        <v>2</v>
      </c>
      <c r="AH33" s="827">
        <f ca="1">RANK(AR33,$AR$30:$AR$33)</f>
        <v>2</v>
      </c>
      <c r="AI33" s="829" t="str">
        <f ca="1">A32</f>
        <v>Australia</v>
      </c>
      <c r="AJ33" s="827">
        <f ca="1">AL33*3+AM33*1+AN33*0</f>
        <v>4</v>
      </c>
      <c r="AK33" s="827">
        <f ca="1">COUNTIFS($I$4:$I$65,AI33,$K$4:$K$65,"&lt;&gt;",$L$4:$L$65,"&lt;&gt;")+COUNTIFS($N$4:$N$65,AI33,$L$4:$L$65,"&lt;&gt;",$K$4:$K$65,"&lt;&gt;")</f>
        <v>3</v>
      </c>
      <c r="AL33" s="827">
        <f t="array" aca="1" ref="AL33" ca="1">SUM(($I$4:$I$65=AI33)*($K$4:$K$65&lt;&gt;"")*($L$4:$L$65&lt;&gt;"")*($K$4:$K$65&gt;$L$4:$L$65),($N$4:$N$65=AI33)*($K$4:$K$65&lt;&gt;"")*($L$4:$L$65&lt;&gt;"")*($K$4:$K$65&lt;$L$4:$L$65))</f>
        <v>1</v>
      </c>
      <c r="AM33" s="827">
        <f t="array" aca="1" ref="AM33" ca="1">SUM(($I$4:$I$65=AI33)*($K$4:$K$65&lt;&gt;"")*($L$4:$L$65&lt;&gt;"")*($K$4:$K$65=$L$4:$L$65),($N$4:$N$65=AI33)*($K$4:$K$65&lt;&gt;"")*($L$4:$L$65&lt;&gt;"")*($K$4:$K$65=$L$4:$L$65))</f>
        <v>1</v>
      </c>
      <c r="AN33" s="827">
        <f t="array" aca="1" ref="AN33" ca="1">SUM(($I$4:$I$65=AI33)*($L$4:$L$65&lt;&gt;"")*($K$4:$K$65&lt;&gt;"")*($K$4:$K$65&lt;$L$4:$L$65),($K$4:$K$65&lt;&gt;"")*($N$4:$N$65=AI33)*($L$4:$L$65&lt;&gt;"")*($K$4:$K$65&gt;$L$4:$L$65))</f>
        <v>1</v>
      </c>
      <c r="AO33" s="827">
        <f t="array" aca="1" ref="AO33" ca="1">SUMIFS($K$4:$K$65,$I$4:$I$65,AI33,$K$4:$K$65,"&lt;&gt;",$L$4:$L$65,"&lt;&gt;")+SUMIFS($L$4:$L$65,$N$4:$N$65,AI33,$K$4:$K$65,"&lt;&gt;",$L$4:$L$65,"&lt;&gt;")</f>
        <v>1</v>
      </c>
      <c r="AP33" s="827">
        <f t="array" aca="1" ref="AP33" ca="1">SUMIFS($K$4:$K$65,$N$4:$N$65,AI33,$K$4:$K$65,"&lt;&gt;",$L$4:$L$65,"&lt;&gt;")+SUMIFS($L$4:$L$65,$I$4:$I$65,AI33,$K$4:$K$65,"&lt;&gt;",$L$4:$L$65,"&lt;&gt;")</f>
        <v>4</v>
      </c>
      <c r="AQ33" s="827">
        <f ca="1">AO33-AP33</f>
        <v>-3</v>
      </c>
      <c r="AR33" s="827">
        <f ca="1">IF(AK33=0,-($AW$11*VLOOKUP(AI33,Tabla3[[NombreEquipo]:[Rank]],3,FALSE)),AJ33*$AW$4+AQ33*$AW$5+AO33*$AW$6+BA33-($AW$11*VLOOKUP(AI33,Tabla3[[NombreEquipo]:[Rank]],3,FALSE)/100))</f>
        <v>4430210499.8400002</v>
      </c>
      <c r="AS33" s="827">
        <f ca="1">AH33</f>
        <v>2</v>
      </c>
      <c r="AT33" s="827"/>
      <c r="AU33" s="827">
        <f ca="1">IFERROR(AR33-VLOOKUP(AI33,$AB$30:$AC$33,2,0),AR33)</f>
        <v>4430210499.8400002</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0</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-4</v>
      </c>
      <c r="BK33" s="835">
        <f ca="1">BE33-BG31</f>
        <v>0</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1</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2</v>
      </c>
      <c r="BV33" s="829" t="str">
        <f ca="1">A32</f>
        <v>Australia</v>
      </c>
      <c r="BW33" s="829">
        <f t="shared" ca="1" si="8"/>
        <v>4430210499.8400002</v>
      </c>
      <c r="BX33" s="829" t="str">
        <f ca="1">VLOOKUP(Q33,$AH$30:$AI$33,2,0)</f>
        <v>Túnez</v>
      </c>
      <c r="BY33" s="829">
        <f ca="1">VLOOKUP($BX33,$AI$30:$AR$33,10,FALSE)</f>
        <v>1093210499.8499999</v>
      </c>
      <c r="CA33" s="829">
        <v>4</v>
      </c>
      <c r="CB33" s="829" t="str">
        <f ca="1">VLOOKUP(CA33,$AH$30:$AI$33,2,0)</f>
        <v>Túnez</v>
      </c>
      <c r="CC33" s="829">
        <f ca="1">VLOOKUP(CB33,$AI$30:$AR$33,2,FALSE)</f>
        <v>1</v>
      </c>
      <c r="CD33" s="836">
        <f ca="1">IF(SUM($AK$30:$AK$33)=12,MIN(ABS(BY32-BY33),ABS(BY33-BY34)),100)</f>
        <v>1093210499.8499999</v>
      </c>
      <c r="CE33" s="829">
        <f ca="1">VLOOKUP($CB33,$AI$30:$AR$33,9,FALSE)</f>
        <v>-4</v>
      </c>
      <c r="CF33" s="829">
        <f ca="1">VLOOKUP($CB33,$AI$30:$AR$33,7,FALSE)</f>
        <v>2</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44888.666666666664</v>
      </c>
      <c r="G36" s="230">
        <f>Horarios!C36</f>
        <v>44888.666666666664</v>
      </c>
      <c r="H36" s="229" t="s">
        <v>72</v>
      </c>
      <c r="I36" s="231" t="str">
        <f ca="1">A39</f>
        <v>Alemania</v>
      </c>
      <c r="J36" s="232" t="str">
        <f ca="1">VLOOKUP(I36,Equipos!$H$2:$I$33,2,0)</f>
        <v>🇩🇪</v>
      </c>
      <c r="K36" s="233">
        <v>3</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72</v>
      </c>
      <c r="I37" s="226" t="str">
        <f ca="1">A37</f>
        <v>España</v>
      </c>
      <c r="J37" s="227" t="str">
        <f ca="1">VLOOKUP(I37,Equipos!$H$2:$I$33,2,0)</f>
        <v>🇪🇸</v>
      </c>
      <c r="K37" s="228">
        <v>1</v>
      </c>
      <c r="L37" s="228">
        <v>2</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73</v>
      </c>
      <c r="I38" s="226" t="str">
        <f ca="1">A40</f>
        <v>Japón</v>
      </c>
      <c r="J38" s="227" t="str">
        <f ca="1">VLOOKUP(I38,Equipos!$H$2:$I$33,2,0)</f>
        <v>🇯🇵</v>
      </c>
      <c r="K38" s="228">
        <v>1</v>
      </c>
      <c r="L38" s="228">
        <v>3</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10</v>
      </c>
      <c r="Y38" s="310">
        <f ca="1">VLOOKUP($R38,$AI$38:$AR$41,8,FALSE)</f>
        <v>4</v>
      </c>
      <c r="Z38" s="311">
        <f ca="1">VLOOKUP($R38,$AI$38:$AR$41,9,FALSE)</f>
        <v>6</v>
      </c>
      <c r="AA38" s="395">
        <f ca="1">IF(SUM($AK$38:$AK$41)=12,MIN(ABS(BY37-BY38),ABS(BY38-BY39)),100)</f>
        <v>3355999999.9899998</v>
      </c>
      <c r="AB38" s="101" t="str">
        <f ca="1">IF(AND(AA38&gt;=0,AA38&lt;90),VLOOKUP(Q38,$BU$38:$BV$41,2,0),"")</f>
        <v/>
      </c>
      <c r="AC38" s="78"/>
      <c r="AD38" s="79"/>
      <c r="AE38" s="365"/>
      <c r="AF38" s="828">
        <f ca="1">VLOOKUP($R38,$AI$38:$AR$41,10,FALSE)</f>
        <v>10039210499.809999</v>
      </c>
      <c r="AG38" s="827">
        <f ca="1">RANK(AU38,$AU$38:$AU$41)</f>
        <v>3</v>
      </c>
      <c r="AH38" s="827">
        <f ca="1">RANK(AR38,$AR$38:$AR$41)</f>
        <v>3</v>
      </c>
      <c r="AI38" s="829" t="str">
        <f ca="1">A37</f>
        <v>España</v>
      </c>
      <c r="AJ38" s="827">
        <f ca="1">AL38*3+AM38*1+AN38*0</f>
        <v>3</v>
      </c>
      <c r="AK38" s="827">
        <f ca="1">COUNTIFS($I$4:$I$65,AI38,$K$4:$K$65,"&lt;&gt;",$L$4:$L$65,"&lt;&gt;")+COUNTIFS($N$4:$N$65,AI38,$L$4:$L$65,"&lt;&gt;",$K$4:$K$65,"&lt;&gt;")</f>
        <v>3</v>
      </c>
      <c r="AL38" s="827">
        <f t="array" aca="1" ref="AL38" ca="1">SUM(($I$4:$I$65=AI38)*($K$4:$K$65&lt;&gt;"")*($L$4:$L$65&lt;&gt;"")*($K$4:$K$65&gt;$L$4:$L$65),($N$4:$N$65=AI38)*($K$4:$K$65&lt;&gt;"")*($L$4:$L$65&lt;&gt;"")*($K$4:$K$65&lt;$L$4:$L$65))</f>
        <v>1</v>
      </c>
      <c r="AM38" s="827">
        <f t="array" aca="1" ref="AM38" ca="1">SUM(($I$4:$I$65=AI38)*($K$4:$K$65&lt;&gt;"")*($L$4:$L$65&lt;&gt;"")*($K$4:$K$65=$L$4:$L$65),($N$4:$N$65=AI38)*($K$4:$K$65&lt;&gt;"")*($L$4:$L$65&lt;&gt;"")*($K$4:$K$65=$L$4:$L$65))</f>
        <v>0</v>
      </c>
      <c r="AN38" s="827">
        <f t="array" aca="1" ref="AN38" ca="1">SUM(($I$4:$I$65=AI38)*($L$4:$L$65&lt;&gt;"")*($K$4:$K$65&lt;&gt;"")*($K$4:$K$65&lt;$L$4:$L$65),($K$4:$K$65&lt;&gt;"")*($N$4:$N$65=AI38)*($L$4:$L$65&lt;&gt;"")*($K$4:$K$65&gt;$L$4:$L$65))</f>
        <v>2</v>
      </c>
      <c r="AO38" s="827">
        <f t="array" aca="1" ref="AO38" ca="1">SUMIFS($K$4:$K$65,$I$4:$I$65,AI38,$K$4:$K$65,"&lt;&gt;",$L$4:$L$65,"&lt;&gt;")+SUMIFS($L$4:$L$65,$N$4:$N$65,AI38,$K$4:$K$65,"&lt;&gt;",$L$4:$L$65,"&lt;&gt;")</f>
        <v>3</v>
      </c>
      <c r="AP38" s="827">
        <f t="array" aca="1" ref="AP38" ca="1">SUMIFS($K$4:$K$65,$N$4:$N$65,AI38,$K$4:$K$65,"&lt;&gt;",$L$4:$L$65,"&lt;&gt;")+SUMIFS($L$4:$L$65,$I$4:$I$65,AI38,$K$4:$K$65,"&lt;&gt;",$L$4:$L$65,"&lt;&gt;")</f>
        <v>6</v>
      </c>
      <c r="AQ38" s="827">
        <f ca="1">AO38-AP38</f>
        <v>-3</v>
      </c>
      <c r="AR38" s="827">
        <f ca="1">IF(AK38=0,-($AW$11*VLOOKUP(AI38,Tabla3[[NombreEquipo]:[Rank]],3,FALSE)),AJ38*$AW$4+AQ38*$AW$5+AO38*$AW$6+BA38-($AW$11*VLOOKUP(AI38,Tabla3[[NombreEquipo]:[Rank]],3,FALSE)/100))</f>
        <v>3321210499.8299999</v>
      </c>
      <c r="AS38" s="827">
        <f ca="1">AH38</f>
        <v>3</v>
      </c>
      <c r="AT38" s="827"/>
      <c r="AU38" s="827">
        <f ca="1">IFERROR(AR38-VLOOKUP(AI38,$AB$38:$AC$41,2,0),AR38)</f>
        <v>3321210499.8299999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1</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1</v>
      </c>
      <c r="BH38" s="835">
        <f ca="1">RANK(BI38,BI38:BI41,1)</f>
        <v>1</v>
      </c>
      <c r="BI38" s="835">
        <f ca="1">SUM(IF(AND(AJ38=AJ39,AQ38=AQ39,AO38=AO39),BK38,0),IF(AND(AJ38=AJ40,AQ38=AQ40,AO38=AO40),BL38,0),IF(AND(AJ38=AJ41,AQ38=AQ41,AO38=AO41),BM38,0))</f>
        <v>0</v>
      </c>
      <c r="BJ38" s="835">
        <v>0</v>
      </c>
      <c r="BK38" s="835">
        <f ca="1">BE38-BD39</f>
        <v>-1</v>
      </c>
      <c r="BL38" s="835">
        <f ca="1">BF38-BD40</f>
        <v>-3</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0</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3</v>
      </c>
      <c r="BV38" s="829" t="str">
        <f ca="1">A37</f>
        <v>España</v>
      </c>
      <c r="BW38" s="829">
        <f t="shared" ref="BW38" ca="1" si="27">AR38</f>
        <v>3321210499.8299999</v>
      </c>
      <c r="BX38" s="829" t="str">
        <f ca="1">VLOOKUP(Q38,$AH$38:$AI$41,2,0)</f>
        <v>Alemania</v>
      </c>
      <c r="BY38" s="829">
        <f ca="1">VLOOKUP($BX38,$AI$38:$AR$41,10,FALSE)</f>
        <v>10039210499.809999</v>
      </c>
      <c r="CA38" s="829">
        <v>1</v>
      </c>
      <c r="CB38" s="829" t="str">
        <f ca="1">VLOOKUP(CA38,$AH$38:$AI$41,2,0)</f>
        <v>Alemania</v>
      </c>
      <c r="CC38" s="829">
        <f ca="1">VLOOKUP(CB38,$AI$38:$AR$41,2,FALSE)</f>
        <v>9</v>
      </c>
      <c r="CD38" s="836">
        <f ca="1">IF(SUM($AK$38:$AK$41)=12,MIN(ABS(BY37-BY38),ABS(BY38-BY39)),100)</f>
        <v>3355999999.9899998</v>
      </c>
      <c r="CE38" s="829">
        <f ca="1">VLOOKUP($CB38,$AI$38:$AR$41,9,FALSE)</f>
        <v>6</v>
      </c>
      <c r="CF38" s="829">
        <f ca="1">VLOOKUP($CB38,$AI$38:$AR$41,7,FALSE)</f>
        <v>10</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73</v>
      </c>
      <c r="I39" s="226" t="str">
        <f ca="1">A37</f>
        <v>España</v>
      </c>
      <c r="J39" s="227" t="str">
        <f ca="1">VLOOKUP(I39,Equipos!$H$2:$I$33,2,0)</f>
        <v>🇪🇸</v>
      </c>
      <c r="K39" s="228">
        <v>1</v>
      </c>
      <c r="L39" s="228">
        <v>4</v>
      </c>
      <c r="M39" s="379" t="str">
        <f ca="1">VLOOKUP(N39,Equipos!$H$2:$I$33,2,0)</f>
        <v>🇩🇪</v>
      </c>
      <c r="N39" s="235" t="str">
        <f ca="1">A39</f>
        <v>Alemania</v>
      </c>
      <c r="O39" s="385">
        <f t="shared" si="25"/>
        <v>1</v>
      </c>
      <c r="P39" s="88"/>
      <c r="Q39" s="290">
        <v>2</v>
      </c>
      <c r="R39" s="4" t="str">
        <f ca="1">VLOOKUP(Q39,$AG$38:$AI$41,3,0)</f>
        <v>Costa Rica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7</v>
      </c>
      <c r="Y39" s="3">
        <f ca="1">VLOOKUP($R39,$AI$38:$AR$41,8,FALSE)</f>
        <v>5</v>
      </c>
      <c r="Z39" s="291">
        <f ca="1">VLOOKUP($R39,$AI$38:$AR$41,9,FALSE)</f>
        <v>2</v>
      </c>
      <c r="AA39" s="395">
        <f ca="1">IF(SUM($AK$38:$AK$41)=12,MIN(ABS(BY38-BY39),ABS(BY39-BY40)),100)</f>
        <v>3355999999.9899998</v>
      </c>
      <c r="AB39" s="101" t="str">
        <f ca="1">IF(AND(AA39&gt;=0,AA39&lt;90),VLOOKUP(Q39,$BU$38:$BV$41,2,0),"")</f>
        <v/>
      </c>
      <c r="AC39" s="78"/>
      <c r="AD39" s="79"/>
      <c r="AE39" s="365"/>
      <c r="AF39" s="828">
        <f ca="1">VLOOKUP($R39,$AI$38:$AR$41,10,FALSE)</f>
        <v>6683210499.8199997</v>
      </c>
      <c r="AG39" s="827">
        <f ca="1">RANK(AU39,$AU$38:$AU$41)</f>
        <v>2</v>
      </c>
      <c r="AH39" s="827">
        <f ca="1">RANK(AR39,$AR$38:$AR$41)</f>
        <v>2</v>
      </c>
      <c r="AI39" s="829" t="str">
        <f ca="1">A38</f>
        <v>Costa Rica</v>
      </c>
      <c r="AJ39" s="827">
        <f ca="1">AL39*3+AM39*1+AN39*0</f>
        <v>6</v>
      </c>
      <c r="AK39" s="827">
        <f ca="1">COUNTIFS($I$4:$I$65,AI39,$K$4:$K$65,"&lt;&gt;",$L$4:$L$65,"&lt;&gt;")+COUNTIFS($N$4:$N$65,AI39,$L$4:$L$65,"&lt;&gt;",$K$4:$K$65,"&lt;&gt;")</f>
        <v>3</v>
      </c>
      <c r="AL39" s="827">
        <f t="array" aca="1" ref="AL39" ca="1">SUM(($I$4:$I$65=AI39)*($K$4:$K$65&lt;&gt;"")*($L$4:$L$65&lt;&gt;"")*($K$4:$K$65&gt;$L$4:$L$65),($N$4:$N$65=AI39)*($K$4:$K$65&lt;&gt;"")*($L$4:$L$65&lt;&gt;"")*($K$4:$K$65&lt;$L$4:$L$65))</f>
        <v>2</v>
      </c>
      <c r="AM39" s="827">
        <f t="array" aca="1" ref="AM39" ca="1">SUM(($I$4:$I$65=AI39)*($K$4:$K$65&lt;&gt;"")*($L$4:$L$65&lt;&gt;"")*($K$4:$K$65=$L$4:$L$65),($N$4:$N$65=AI39)*($K$4:$K$65&lt;&gt;"")*($L$4:$L$65&lt;&gt;"")*($K$4:$K$65=$L$4:$L$65))</f>
        <v>0</v>
      </c>
      <c r="AN39" s="827">
        <f t="array" aca="1" ref="AN39" ca="1">SUM(($I$4:$I$65=AI39)*($L$4:$L$65&lt;&gt;"")*($K$4:$K$65&lt;&gt;"")*($K$4:$K$65&lt;$L$4:$L$65),($K$4:$K$65&lt;&gt;"")*($N$4:$N$65=AI39)*($L$4:$L$65&lt;&gt;"")*($K$4:$K$65&gt;$L$4:$L$65))</f>
        <v>1</v>
      </c>
      <c r="AO39" s="827">
        <f t="array" aca="1" ref="AO39" ca="1">SUMIFS($K$4:$K$65,$I$4:$I$65,AI39,$K$4:$K$65,"&lt;&gt;",$L$4:$L$65,"&lt;&gt;")+SUMIFS($L$4:$L$65,$N$4:$N$65,AI39,$K$4:$K$65,"&lt;&gt;",$L$4:$L$65,"&lt;&gt;")</f>
        <v>7</v>
      </c>
      <c r="AP39" s="827">
        <f t="array" aca="1" ref="AP39" ca="1">SUMIFS($K$4:$K$65,$N$4:$N$65,AI39,$K$4:$K$65,"&lt;&gt;",$L$4:$L$65,"&lt;&gt;")+SUMIFS($L$4:$L$65,$I$4:$I$65,AI39,$K$4:$K$65,"&lt;&gt;",$L$4:$L$65,"&lt;&gt;")</f>
        <v>5</v>
      </c>
      <c r="AQ39" s="827">
        <f ca="1">AO39-AP39</f>
        <v>2</v>
      </c>
      <c r="AR39" s="827">
        <f ca="1">IF(AK39=0,-($AW$11*VLOOKUP(AI39,Tabla3[[NombreEquipo]:[Rank]],3,FALSE)),AJ39*$AW$4+AQ39*$AW$5+AO39*$AW$6+BA39-($AW$11*VLOOKUP(AI39,Tabla3[[NombreEquipo]:[Rank]],3,FALSE)/100))</f>
        <v>6683210499.8199997</v>
      </c>
      <c r="AS39" s="827">
        <f ca="1">AH39</f>
        <v>2</v>
      </c>
      <c r="AT39" s="827"/>
      <c r="AU39" s="827">
        <f ca="1">IFERROR(AR39-VLOOKUP(AI39,$AB$38:$AC$41,2,0),AR39)</f>
        <v>6683210499.8199997</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2</v>
      </c>
      <c r="BE39" s="835">
        <v>0</v>
      </c>
      <c r="BF39" s="835">
        <f t="array" aca="1" ref="BF39" ca="1">SUMIFS($K$36:$K$41,$I$36:$I$41,$AY39,$K$36:$K$41,"&lt;&gt;",$L$36:$L$41,"&lt;&gt;",$N$36:$N$41,BF37)+SUMIFS($L$36:$L$41,$I$36:$I$41,BF37,$K$36:$K$41,"&lt;&gt;",$L$36:$L$41,"&lt;&gt;",$N$36:$N$41,$AY39)</f>
        <v>2</v>
      </c>
      <c r="BG39" s="835">
        <f t="array" aca="1" ref="BG39" ca="1">SUMIFS($K$36:$K$41,$I$36:$I$41,$AY39,$K$36:$K$41,"&lt;&gt;",$L$36:$L$41,"&lt;&gt;",$N$36:$N$41,BG37)+SUMIFS($L$36:$L$41,$I$36:$I$41,BG37,$K$36:$K$41,"&lt;&gt;",$L$36:$L$41,"&lt;&gt;",$N$36:$N$41,$AY39)</f>
        <v>3</v>
      </c>
      <c r="BH39" s="835">
        <f ca="1">RANK(BI39,BI38:BI41,1)</f>
        <v>1</v>
      </c>
      <c r="BI39" s="835">
        <f ca="1">SUM(IF(AND(AJ39=AJ40,AQ39=AQ40,AO39=AO40),BL39,0),IF(AND(AJ39=AJ41,AQ39=AQ41,AO39=AO41),BM39,0),IF(AND(AJ39=AJ38,AQ39=AQ38,AO39=AO38),BJ39,0))</f>
        <v>0</v>
      </c>
      <c r="BJ39" s="835">
        <f ca="1">BD39-BE38</f>
        <v>1</v>
      </c>
      <c r="BK39" s="835">
        <v>0</v>
      </c>
      <c r="BL39" s="835">
        <f ca="1">BF39-BE40</f>
        <v>-1</v>
      </c>
      <c r="BM39" s="835">
        <f ca="1">BG39-BE41</f>
        <v>2</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3</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2</v>
      </c>
      <c r="BV39" s="829" t="str">
        <f ca="1">A38</f>
        <v>Costa Rica</v>
      </c>
      <c r="BW39" s="829">
        <f t="shared" ca="1" si="8"/>
        <v>6683210499.8199997</v>
      </c>
      <c r="BX39" s="829" t="str">
        <f ca="1">VLOOKUP(Q39,$AH$38:$AI$41,2,0)</f>
        <v>Costa Rica</v>
      </c>
      <c r="BY39" s="829">
        <f ca="1">VLOOKUP($BX39,$AI$38:$AR$41,10,FALSE)</f>
        <v>6683210499.8199997</v>
      </c>
      <c r="CA39" s="829">
        <v>2</v>
      </c>
      <c r="CB39" s="829" t="str">
        <f ca="1">VLOOKUP(CA39,$AH$38:$AI$41,2,0)</f>
        <v>Costa Rica</v>
      </c>
      <c r="CC39" s="829">
        <f ca="1">VLOOKUP(CB39,$AI$38:$AR$41,2,FALSE)</f>
        <v>6</v>
      </c>
      <c r="CD39" s="836">
        <f ca="1">IF(SUM($AK$38:$AK$41)=12,MIN(ABS(BY38-BY39),ABS(BY39-BY40)),100)</f>
        <v>3355999999.9899998</v>
      </c>
      <c r="CE39" s="829">
        <f ca="1">VLOOKUP($CB39,$AI$38:$AR$41,9,FALSE)</f>
        <v>2</v>
      </c>
      <c r="CF39" s="829">
        <f ca="1">VLOOKUP($CB39,$AI$38:$AR$41,7,FALSE)</f>
        <v>7</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74</v>
      </c>
      <c r="I40" s="226" t="str">
        <f ca="1">A40</f>
        <v>Japón</v>
      </c>
      <c r="J40" s="227" t="str">
        <f ca="1">VLOOKUP(I40,Equipos!$H$2:$I$33,2,0)</f>
        <v>🇯🇵</v>
      </c>
      <c r="K40" s="228">
        <v>0</v>
      </c>
      <c r="L40" s="228">
        <v>1</v>
      </c>
      <c r="M40" s="379" t="str">
        <f ca="1">VLOOKUP(N40,Equipos!$H$2:$I$33,2,0)</f>
        <v>🇪🇸</v>
      </c>
      <c r="N40" s="235" t="str">
        <f ca="1">A37</f>
        <v>España</v>
      </c>
      <c r="O40" s="385">
        <f t="shared" si="25"/>
        <v>1</v>
      </c>
      <c r="P40" s="88"/>
      <c r="Q40" s="290">
        <v>3</v>
      </c>
      <c r="R40" s="4" t="str">
        <f ca="1">VLOOKUP(Q40,$AG$38:$AI$41,3,0)</f>
        <v>España</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3</v>
      </c>
      <c r="Y40" s="3">
        <f ca="1">VLOOKUP($R40,$AI$38:$AR$41,8,FALSE)</f>
        <v>6</v>
      </c>
      <c r="Z40" s="291">
        <f ca="1">VLOOKUP($R40,$AI$38:$AR$41,9,FALSE)</f>
        <v>-3</v>
      </c>
      <c r="AA40" s="395">
        <f ca="1">IF(SUM($AK$38:$AK$41)=12,MIN(ABS(BY39-BY40),ABS(BY40-BY41)),100)</f>
        <v>3344000000.0299997</v>
      </c>
      <c r="AB40" s="101" t="str">
        <f ca="1">IF(AND(AA40&gt;=0,AA40&lt;90),VLOOKUP(Q40,$BU$38:$BV$41,2,0),"")</f>
        <v/>
      </c>
      <c r="AC40" s="78"/>
      <c r="AD40" s="79"/>
      <c r="AE40" s="365"/>
      <c r="AF40" s="828">
        <f ca="1">VLOOKUP($R40,$AI$38:$AR$41,10,FALSE)</f>
        <v>3321210499.8299999</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10</v>
      </c>
      <c r="AP40" s="827">
        <f t="array" aca="1" ref="AP40" ca="1">SUMIFS($K$4:$K$65,$N$4:$N$65,AI40,$K$4:$K$65,"&lt;&gt;",$L$4:$L$65,"&lt;&gt;")+SUMIFS($L$4:$L$65,$I$4:$I$65,AI40,$K$4:$K$65,"&lt;&gt;",$L$4:$L$65,"&lt;&gt;")</f>
        <v>4</v>
      </c>
      <c r="AQ40" s="827">
        <f ca="1">AO40-AP40</f>
        <v>6</v>
      </c>
      <c r="AR40" s="827">
        <f ca="1">IF(AK40=0,-($AW$11*VLOOKUP(AI40,Tabla3[[NombreEquipo]:[Rank]],3,FALSE)),AJ40*$AW$4+AQ40*$AW$5+AO40*$AW$6+BA40-($AW$11*VLOOKUP(AI40,Tabla3[[NombreEquipo]:[Rank]],3,FALSE)/100))</f>
        <v>10039210499.809999</v>
      </c>
      <c r="AS40" s="827">
        <f ca="1">AH40</f>
        <v>1</v>
      </c>
      <c r="AT40" s="827"/>
      <c r="AU40" s="827">
        <f ca="1">IFERROR(AR40-VLOOKUP(AI40,$AB$38:$AC$41,2,0),AR40)</f>
        <v>10039210499.809999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4</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3</v>
      </c>
      <c r="BK40" s="835">
        <f ca="1">BE40-BF39</f>
        <v>1</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10039210499.809999</v>
      </c>
      <c r="BX40" s="829" t="str">
        <f ca="1">VLOOKUP(Q40,$AH$38:$AI$41,2,0)</f>
        <v>España</v>
      </c>
      <c r="BY40" s="829">
        <f ca="1">VLOOKUP($BX40,$AI$38:$AR$41,10,FALSE)</f>
        <v>3321210499.8299999</v>
      </c>
      <c r="CA40" s="829">
        <v>3</v>
      </c>
      <c r="CB40" s="829" t="str">
        <f ca="1">VLOOKUP(CA40,$AH$38:$AI$41,2,0)</f>
        <v>España</v>
      </c>
      <c r="CC40" s="829">
        <f ca="1">VLOOKUP(CB40,$AI$38:$AR$41,2,FALSE)</f>
        <v>3</v>
      </c>
      <c r="CD40" s="836">
        <f ca="1">IF(SUM($AK$38:$AK$41)=12,MIN(ABS(BY39-BY40),ABS(BY40-BY41)),100)</f>
        <v>3344000000.0299997</v>
      </c>
      <c r="CE40" s="829">
        <f ca="1">VLOOKUP($CB40,$AI$38:$AR$41,9,FALSE)</f>
        <v>-3</v>
      </c>
      <c r="CF40" s="829">
        <f ca="1">VLOOKUP($CB40,$AI$38:$AR$41,7,FALSE)</f>
        <v>3</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6"/>
      <c r="F41" s="236">
        <f>Horarios!C41</f>
        <v>44896.916666666664</v>
      </c>
      <c r="G41" s="237">
        <f>Horarios!C41</f>
        <v>44896.916666666664</v>
      </c>
      <c r="H41" s="236" t="s">
        <v>74</v>
      </c>
      <c r="I41" s="238" t="str">
        <f ca="1">A38</f>
        <v>Costa Rica</v>
      </c>
      <c r="J41" s="239" t="str">
        <f ca="1">VLOOKUP(I41,Equipos!$H$2:$I$33,2,0)</f>
        <v>🇨🇷</v>
      </c>
      <c r="K41" s="240">
        <v>2</v>
      </c>
      <c r="L41" s="240">
        <v>3</v>
      </c>
      <c r="M41" s="380" t="str">
        <f ca="1">VLOOKUP(N41,Equipos!$H$2:$I$33,2,0)</f>
        <v>🇩🇪</v>
      </c>
      <c r="N41" s="241" t="str">
        <f ca="1">A39</f>
        <v>Alemania</v>
      </c>
      <c r="O41" s="385">
        <f t="shared" si="25"/>
        <v>1</v>
      </c>
      <c r="P41" s="88"/>
      <c r="Q41" s="292">
        <v>4</v>
      </c>
      <c r="R41" s="293" t="str">
        <f ca="1">VLOOKUP(Q41,$AG$38:$AI$41,3,0)</f>
        <v>Japón</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2</v>
      </c>
      <c r="Y41" s="294">
        <f ca="1">VLOOKUP($R41,$AI$38:$AR$41,8,FALSE)</f>
        <v>7</v>
      </c>
      <c r="Z41" s="295">
        <f ca="1">VLOOKUP($R41,$AI$38:$AR$41,9,FALSE)</f>
        <v>-5</v>
      </c>
      <c r="AA41" s="395">
        <f ca="1">IF(SUM($AK$38:$AK$41)=12,MIN(ABS(BY40-BY41),ABS(BY41-BY42)),100)</f>
        <v>22789500.199999999</v>
      </c>
      <c r="AB41" s="101" t="str">
        <f ca="1">IF(AND(AA41&gt;=0,AA41&lt;90),VLOOKUP(Q41,$BU$38:$BV$41,2,0),"")</f>
        <v/>
      </c>
      <c r="AC41" s="78"/>
      <c r="AD41" s="79"/>
      <c r="AE41" s="365"/>
      <c r="AF41" s="828">
        <f ca="1">VLOOKUP($R41,$AI$38:$AR$41,10,FALSE)</f>
        <v>-22789500.199999999</v>
      </c>
      <c r="AG41" s="827">
        <f ca="1">RANK(AU41,$AU$38:$AU$41)</f>
        <v>4</v>
      </c>
      <c r="AH41" s="827">
        <f ca="1">RANK(AR41,$AR$38:$AR$41)</f>
        <v>4</v>
      </c>
      <c r="AI41" s="829" t="str">
        <f ca="1">A40</f>
        <v>Japón</v>
      </c>
      <c r="AJ41" s="827">
        <f ca="1">AL41*3+AM41*1+AN41*0</f>
        <v>0</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0</v>
      </c>
      <c r="AN41" s="827">
        <f t="array" aca="1" ref="AN41" ca="1">SUM(($I$4:$I$65=AI41)*($L$4:$L$65&lt;&gt;"")*($K$4:$K$65&lt;&gt;"")*($K$4:$K$65&lt;$L$4:$L$65),($K$4:$K$65&lt;&gt;"")*($N$4:$N$65=AI41)*($L$4:$L$65&lt;&gt;"")*($K$4:$K$65&gt;$L$4:$L$65))</f>
        <v>3</v>
      </c>
      <c r="AO41" s="827">
        <f t="array" aca="1" ref="AO41" ca="1">SUMIFS($K$4:$K$65,$I$4:$I$65,AI41,$K$4:$K$65,"&lt;&gt;",$L$4:$L$65,"&lt;&gt;")+SUMIFS($L$4:$L$65,$N$4:$N$65,AI41,$K$4:$K$65,"&lt;&gt;",$L$4:$L$65,"&lt;&gt;")</f>
        <v>2</v>
      </c>
      <c r="AP41" s="827">
        <f t="array" aca="1" ref="AP41" ca="1">SUMIFS($K$4:$K$65,$N$4:$N$65,AI41,$K$4:$K$65,"&lt;&gt;",$L$4:$L$65,"&lt;&gt;")+SUMIFS($L$4:$L$65,$I$4:$I$65,AI41,$K$4:$K$65,"&lt;&gt;",$L$4:$L$65,"&lt;&gt;")</f>
        <v>7</v>
      </c>
      <c r="AQ41" s="827">
        <f ca="1">AO41-AP41</f>
        <v>-5</v>
      </c>
      <c r="AR41" s="827">
        <f ca="1">IF(AK41=0,-($AW$11*VLOOKUP(AI41,Tabla3[[NombreEquipo]:[Rank]],3,FALSE)),AJ41*$AW$4+AQ41*$AW$5+AO41*$AW$6+BA41-($AW$11*VLOOKUP(AI41,Tabla3[[NombreEquipo]:[Rank]],3,FALSE)/100))</f>
        <v>-22789500.199999999</v>
      </c>
      <c r="AS41" s="827">
        <f ca="1">AH41</f>
        <v>4</v>
      </c>
      <c r="AT41" s="827"/>
      <c r="AU41" s="827">
        <f ca="1">IFERROR(AR41-VLOOKUP(AI41,$AB$38:$AC$41,2,0),AR41)</f>
        <v>-22789500.199999999</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0</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-1</v>
      </c>
      <c r="BK41" s="835">
        <f ca="1">BE41-BG39</f>
        <v>-2</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-22789500.199999999</v>
      </c>
      <c r="BX41" s="829" t="str">
        <f ca="1">VLOOKUP(Q41,$AH$38:$AI$41,2,0)</f>
        <v>Japón</v>
      </c>
      <c r="BY41" s="829">
        <f ca="1">VLOOKUP($BX41,$AI$38:$AR$41,10,FALSE)</f>
        <v>-22789500.199999999</v>
      </c>
      <c r="CA41" s="829">
        <v>4</v>
      </c>
      <c r="CB41" s="829" t="str">
        <f ca="1">VLOOKUP(CA41,$AH$38:$AI$41,2,0)</f>
        <v>Japón</v>
      </c>
      <c r="CC41" s="829">
        <f ca="1">VLOOKUP(CB41,$AI$38:$AR$41,2,FALSE)</f>
        <v>0</v>
      </c>
      <c r="CD41" s="836">
        <f ca="1">IF(SUM($AK$38:$AK$41)=12,MIN(ABS(BY40-BY41),ABS(BY41-BY42)),100)</f>
        <v>22789500.199999999</v>
      </c>
      <c r="CE41" s="829">
        <f ca="1">VLOOKUP($CB41,$AI$38:$AR$41,9,FALSE)</f>
        <v>-5</v>
      </c>
      <c r="CF41" s="829">
        <f ca="1">VLOOKUP($CB41,$AI$38:$AR$41,7,FALSE)</f>
        <v>2</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44888.541666666664</v>
      </c>
      <c r="G44" s="414">
        <f>Horarios!C44</f>
        <v>44888.541666666664</v>
      </c>
      <c r="H44" s="413" t="s">
        <v>72</v>
      </c>
      <c r="I44" s="415" t="str">
        <f ca="1">A47</f>
        <v>Marruecos</v>
      </c>
      <c r="J44" s="416" t="str">
        <f ca="1">VLOOKUP(I44,Equipos!$H$2:$I$33,2,0)</f>
        <v>🇲🇦</v>
      </c>
      <c r="K44" s="431">
        <v>0</v>
      </c>
      <c r="L44" s="431">
        <v>0</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1</v>
      </c>
      <c r="CP44" s="827">
        <f t="shared" ca="1" si="31"/>
        <v>0</v>
      </c>
      <c r="CQ44" s="827">
        <f t="shared" ca="1" si="31"/>
        <v>2</v>
      </c>
      <c r="CR44" s="827">
        <f t="shared" ca="1" si="31"/>
        <v>1</v>
      </c>
      <c r="CS44" s="827">
        <f t="shared" ca="1" si="31"/>
        <v>2</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72</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73</v>
      </c>
      <c r="I46" s="419" t="str">
        <f ca="1">A45</f>
        <v>Bélgica</v>
      </c>
      <c r="J46" s="420" t="str">
        <f ca="1">VLOOKUP(I46,Equipos!$H$2:$I$33,2,0)</f>
        <v>🇧🇪</v>
      </c>
      <c r="K46" s="432">
        <v>2</v>
      </c>
      <c r="L46" s="432">
        <v>2</v>
      </c>
      <c r="M46" s="427" t="str">
        <f ca="1">VLOOKUP(N46,Equipos!$H$2:$I$33,2,0)</f>
        <v>🇲🇦</v>
      </c>
      <c r="N46" s="428" t="str">
        <f ca="1">A47</f>
        <v>Marruecos</v>
      </c>
      <c r="O46" s="385">
        <f t="shared" si="32"/>
        <v>1</v>
      </c>
      <c r="P46" s="88"/>
      <c r="Q46" s="451">
        <v>1</v>
      </c>
      <c r="R46" s="452" t="str">
        <f ca="1">VLOOKUP(Q46,$AG$46:$AI$49,3,0)</f>
        <v>Bélgica</v>
      </c>
      <c r="S46" s="453">
        <f ca="1">VLOOKUP(R46,$AI$46:$AR$49,2,FALSE)</f>
        <v>5</v>
      </c>
      <c r="T46" s="453">
        <f ca="1">VLOOKUP($R46,$AI$46:$AR$49,3,FALSE)</f>
        <v>3</v>
      </c>
      <c r="U46" s="453">
        <f ca="1">VLOOKUP($R46,$AI$46:$AR$49,4,FALSE)</f>
        <v>1</v>
      </c>
      <c r="V46" s="453">
        <f ca="1">VLOOKUP($R46,$AI$46:$AR$49,5,FALSE)</f>
        <v>2</v>
      </c>
      <c r="W46" s="453">
        <f ca="1">VLOOKUP($R46,$AI$46:$AR$49,6,FALSE)</f>
        <v>0</v>
      </c>
      <c r="X46" s="453">
        <f ca="1">VLOOKUP($R46,$AI$46:$AR$49,7,FALSE)</f>
        <v>4</v>
      </c>
      <c r="Y46" s="453">
        <f ca="1">VLOOKUP($R46,$AI$46:$AR$49,8,FALSE)</f>
        <v>3</v>
      </c>
      <c r="Z46" s="454">
        <f ca="1">VLOOKUP($R46,$AI$46:$AR$49,9,FALSE)</f>
        <v>1</v>
      </c>
      <c r="AA46" s="395">
        <f ca="1">IF(SUM($AK$46:$AK$49)=12,MIN(ABS(BY45-BY46),ABS(BY46-BY47)),100)</f>
        <v>2228000000.02</v>
      </c>
      <c r="AB46" s="101" t="str">
        <f ca="1">IF(AND(AA46&gt;=0,AA46&lt;90),VLOOKUP(Q46,$BU$46:$BV$49,2,0),"")</f>
        <v/>
      </c>
      <c r="AC46" s="78"/>
      <c r="AD46" s="79"/>
      <c r="AE46" s="365"/>
      <c r="AF46" s="828">
        <f ca="1">VLOOKUP($R46,$AI$46:$AR$49,10,FALSE)</f>
        <v>5564210499.79</v>
      </c>
      <c r="AG46" s="827">
        <f ca="1">RANK(AU46,$AU$46:$AU$49)</f>
        <v>1</v>
      </c>
      <c r="AH46" s="827">
        <f ca="1">RANK(AR46,$AR$46:$AR$49)</f>
        <v>1</v>
      </c>
      <c r="AI46" s="829" t="str">
        <f ca="1">A45</f>
        <v>Bélgica</v>
      </c>
      <c r="AJ46" s="827">
        <f ca="1">AL46*3+AM46*1+AN46*0</f>
        <v>5</v>
      </c>
      <c r="AK46" s="827">
        <f ca="1">COUNTIFS($I$4:$I$65,AI46,$K$4:$K$65,"&lt;&gt;",$L$4:$L$65,"&lt;&gt;")+COUNTIFS($N$4:$N$65,AI46,$L$4:$L$65,"&lt;&gt;",$K$4:$K$65,"&lt;&gt;")</f>
        <v>3</v>
      </c>
      <c r="AL46" s="827">
        <f t="array" aca="1" ref="AL46" ca="1">SUM(($I$4:$I$65=AI46)*($K$4:$K$65&lt;&gt;"")*($L$4:$L$65&lt;&gt;"")*($K$4:$K$65&gt;$L$4:$L$65),($N$4:$N$65=AI46)*($K$4:$K$65&lt;&gt;"")*($L$4:$L$65&lt;&gt;"")*($K$4:$K$65&lt;$L$4:$L$65))</f>
        <v>1</v>
      </c>
      <c r="AM46" s="827">
        <f t="array" aca="1" ref="AM46" ca="1">SUM(($I$4:$I$65=AI46)*($K$4:$K$65&lt;&gt;"")*($L$4:$L$65&lt;&gt;"")*($K$4:$K$65=$L$4:$L$65),($N$4:$N$65=AI46)*($K$4:$K$65&lt;&gt;"")*($L$4:$L$65&lt;&gt;"")*($K$4:$K$65=$L$4:$L$65))</f>
        <v>2</v>
      </c>
      <c r="AN46" s="827">
        <f t="array" aca="1" ref="AN46" ca="1">SUM(($I$4:$I$65=AI46)*($L$4:$L$65&lt;&gt;"")*($K$4:$K$65&lt;&gt;"")*($K$4:$K$65&lt;$L$4:$L$65),($K$4:$K$65&lt;&gt;"")*($N$4:$N$65=AI46)*($L$4:$L$65&lt;&gt;"")*($K$4:$K$65&gt;$L$4:$L$65))</f>
        <v>0</v>
      </c>
      <c r="AO46" s="827">
        <f t="array" aca="1" ref="AO46" ca="1">SUMIFS($K$4:$K$65,$I$4:$I$65,AI46,$K$4:$K$65,"&lt;&gt;",$L$4:$L$65,"&lt;&gt;")+SUMIFS($L$4:$L$65,$N$4:$N$65,AI46,$K$4:$K$65,"&lt;&gt;",$L$4:$L$65,"&lt;&gt;")</f>
        <v>4</v>
      </c>
      <c r="AP46" s="827">
        <f t="array" aca="1" ref="AP46" ca="1">SUMIFS($K$4:$K$65,$N$4:$N$65,AI46,$K$4:$K$65,"&lt;&gt;",$L$4:$L$65,"&lt;&gt;")+SUMIFS($L$4:$L$65,$I$4:$I$65,AI46,$K$4:$K$65,"&lt;&gt;",$L$4:$L$65,"&lt;&gt;")</f>
        <v>3</v>
      </c>
      <c r="AQ46" s="827">
        <f ca="1">AO46-AP46</f>
        <v>1</v>
      </c>
      <c r="AR46" s="827">
        <f ca="1">IF(AK46=0,-($AW$11*VLOOKUP(AI46,Tabla3[[NombreEquipo]:[Rank]],3,FALSE)),AJ46*$AW$4+AQ46*$AW$5+AO46*$AW$6+BA46-($AW$11*VLOOKUP(AI46,Tabla3[[NombreEquipo]:[Rank]],3,FALSE)/100))</f>
        <v>5564210499.79</v>
      </c>
      <c r="AS46" s="827">
        <f ca="1">AH46</f>
        <v>1</v>
      </c>
      <c r="AT46" s="827"/>
      <c r="AU46" s="827">
        <f ca="1">IFERROR(AR46-VLOOKUP(AI46,$AB$46:$AC$49,2,0),AR46)</f>
        <v>5564210499.79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0</v>
      </c>
      <c r="BH46" s="835">
        <f ca="1">RANK(BI46,BI46:BI49,1)</f>
        <v>1</v>
      </c>
      <c r="BI46" s="835">
        <f ca="1">SUM(IF(AND(AJ46=AJ47,AQ46=AQ47,AO46=AO47),BK46,0),IF(AND(AJ46=AJ48,AQ46=AQ48,AO46=AO48),BL46,0),IF(AND(AJ46=AJ49,AQ46=AQ49,AO46=AO49),BM46,0))</f>
        <v>0</v>
      </c>
      <c r="BJ46" s="835">
        <v>0</v>
      </c>
      <c r="BK46" s="835">
        <f ca="1">BE46-BD47</f>
        <v>1</v>
      </c>
      <c r="BL46" s="835">
        <f ca="1">BF46-BD48</f>
        <v>0</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1</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1</v>
      </c>
      <c r="BV46" s="829" t="str">
        <f ca="1">A45</f>
        <v>Bélgica</v>
      </c>
      <c r="BW46" s="829">
        <f t="shared" ref="BW46" ca="1" si="34">AR46</f>
        <v>5564210499.79</v>
      </c>
      <c r="BX46" s="829" t="str">
        <f ca="1">VLOOKUP(Q46,$AH$46:$AI$49,2,0)</f>
        <v>Bélgica</v>
      </c>
      <c r="BY46" s="829">
        <f ca="1">VLOOKUP($BX46,$AI$46:$AR$49,10,FALSE)</f>
        <v>5564210499.79</v>
      </c>
      <c r="CA46" s="829">
        <v>1</v>
      </c>
      <c r="CB46" s="829" t="str">
        <f ca="1">VLOOKUP(CA46,$AH$46:$AI$49,2,0)</f>
        <v>Bélgica</v>
      </c>
      <c r="CC46" s="829">
        <f ca="1">VLOOKUP(CB46,$AI$46:$AR$49,2,FALSE)</f>
        <v>5</v>
      </c>
      <c r="CD46" s="836">
        <f ca="1">IF(SUM($AK$46:$AK$49)=12,MIN(ABS(BY45-BY46),ABS(BY46-BY47)),100)</f>
        <v>2228000000.02</v>
      </c>
      <c r="CE46" s="829">
        <f ca="1">VLOOKUP($CB46,$AI$46:$AR$49,9,FALSE)</f>
        <v>1</v>
      </c>
      <c r="CF46" s="829">
        <f ca="1">VLOOKUP($CB46,$AI$46:$AR$49,7,FALSE)</f>
        <v>4</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73</v>
      </c>
      <c r="I47" s="419" t="str">
        <f ca="1">A48</f>
        <v>Croacia</v>
      </c>
      <c r="J47" s="420" t="str">
        <f ca="1">VLOOKUP(I47,Equipos!$H$2:$I$33,2,0)</f>
        <v>🇭🇷</v>
      </c>
      <c r="K47" s="432">
        <v>1</v>
      </c>
      <c r="L47" s="432">
        <v>1</v>
      </c>
      <c r="M47" s="427" t="str">
        <f ca="1">VLOOKUP(N47,Equipos!$H$2:$I$33,2,0)</f>
        <v>🇨🇦</v>
      </c>
      <c r="N47" s="428" t="str">
        <f ca="1">A46</f>
        <v>Canadá</v>
      </c>
      <c r="O47" s="385">
        <f t="shared" si="32"/>
        <v>1</v>
      </c>
      <c r="P47" s="88"/>
      <c r="Q47" s="403">
        <v>2</v>
      </c>
      <c r="R47" s="4" t="str">
        <f ca="1">VLOOKUP(Q47,$AG$46:$AI$49,3,0)</f>
        <v>Marruecos</v>
      </c>
      <c r="S47" s="3">
        <f ca="1">VLOOKUP(R47,$AI$46:$AR$49,2,FALSE)</f>
        <v>3</v>
      </c>
      <c r="T47" s="3">
        <f ca="1">VLOOKUP($R47,$AI$46:$AR$49,3,FALSE)</f>
        <v>3</v>
      </c>
      <c r="U47" s="3">
        <f ca="1">VLOOKUP($R47,$AI$46:$AR$49,4,FALSE)</f>
        <v>0</v>
      </c>
      <c r="V47" s="3">
        <f ca="1">VLOOKUP($R47,$AI$46:$AR$49,5,FALSE)</f>
        <v>3</v>
      </c>
      <c r="W47" s="3">
        <f ca="1">VLOOKUP($R47,$AI$46:$AR$49,6,FALSE)</f>
        <v>0</v>
      </c>
      <c r="X47" s="3">
        <f ca="1">VLOOKUP($R47,$AI$46:$AR$49,7,FALSE)</f>
        <v>3</v>
      </c>
      <c r="Y47" s="3">
        <f ca="1">VLOOKUP($R47,$AI$46:$AR$49,8,FALSE)</f>
        <v>3</v>
      </c>
      <c r="Z47" s="404">
        <f ca="1">VLOOKUP($R47,$AI$46:$AR$49,9,FALSE)</f>
        <v>0</v>
      </c>
      <c r="AA47" s="395">
        <f ca="1">IF(SUM($AK$46:$AK$49)=12,MIN(ABS(BY46-BY47),ABS(BY47-BY48)),100)</f>
        <v>2000000.009999752</v>
      </c>
      <c r="AB47" s="101" t="str">
        <f ca="1">IF(AND(AA47&gt;=0,AA47&lt;90),VLOOKUP(Q47,$BU$46:$BV$49,2,0),"")</f>
        <v/>
      </c>
      <c r="AC47" s="78"/>
      <c r="AD47" s="79"/>
      <c r="AE47" s="365"/>
      <c r="AF47" s="828">
        <f ca="1">VLOOKUP($R47,$AI$46:$AR$49,10,FALSE)</f>
        <v>3336210499.77</v>
      </c>
      <c r="AG47" s="827">
        <f ca="1">RANK(AU47,$AU$46:$AU$49)</f>
        <v>4</v>
      </c>
      <c r="AH47" s="827">
        <f ca="1">RANK(AR47,$AR$46:$AR$49)</f>
        <v>4</v>
      </c>
      <c r="AI47" s="829" t="str">
        <f ca="1">A46</f>
        <v>Canadá</v>
      </c>
      <c r="AJ47" s="827">
        <f ca="1">AL47*3+AM47*1+AN47*0</f>
        <v>2</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2</v>
      </c>
      <c r="AN47" s="827">
        <f t="array" aca="1" ref="AN47" ca="1">SUM(($I$4:$I$65=AI47)*($L$4:$L$65&lt;&gt;"")*($K$4:$K$65&lt;&gt;"")*($K$4:$K$65&lt;$L$4:$L$65),($K$4:$K$65&lt;&gt;"")*($N$4:$N$65=AI47)*($L$4:$L$65&lt;&gt;"")*($K$4:$K$65&gt;$L$4:$L$65))</f>
        <v>1</v>
      </c>
      <c r="AO47" s="827">
        <f t="array" aca="1" ref="AO47" ca="1">SUMIFS($K$4:$K$65,$I$4:$I$65,AI47,$K$4:$K$65,"&lt;&gt;",$L$4:$L$65,"&lt;&gt;")+SUMIFS($L$4:$L$65,$N$4:$N$65,AI47,$K$4:$K$65,"&lt;&gt;",$L$4:$L$65,"&lt;&gt;")</f>
        <v>3</v>
      </c>
      <c r="AP47" s="827">
        <f t="array" aca="1" ref="AP47" ca="1">SUMIFS($K$4:$K$65,$N$4:$N$65,AI47,$K$4:$K$65,"&lt;&gt;",$L$4:$L$65,"&lt;&gt;")+SUMIFS($L$4:$L$65,$I$4:$I$65,AI47,$K$4:$K$65,"&lt;&gt;",$L$4:$L$65,"&lt;&gt;")</f>
        <v>4</v>
      </c>
      <c r="AQ47" s="827">
        <f ca="1">AO47-AP47</f>
        <v>-1</v>
      </c>
      <c r="AR47" s="827">
        <f ca="1">IF(AK47=0,-($AW$11*VLOOKUP(AI47,Tabla3[[NombreEquipo]:[Rank]],3,FALSE)),AJ47*$AW$4+AQ47*$AW$5+AO47*$AW$6+BA47-($AW$11*VLOOKUP(AI47,Tabla3[[NombreEquipo]:[Rank]],3,FALSE)/100))</f>
        <v>2220210499.7800002</v>
      </c>
      <c r="AS47" s="827">
        <f ca="1">AH47</f>
        <v>4</v>
      </c>
      <c r="AT47" s="827"/>
      <c r="AU47" s="827">
        <f ca="1">IFERROR(AR47-VLOOKUP(AI47,$AB$46:$AC$49,2,0),AR47)</f>
        <v>2220210499.7800002</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0</v>
      </c>
      <c r="BM47" s="835">
        <f ca="1">BG47-BE49</f>
        <v>0</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1</v>
      </c>
      <c r="BT47" s="829">
        <v>2</v>
      </c>
      <c r="BU47" s="829">
        <f ca="1">RANK(BW47,$BW$46:$BW$49)</f>
        <v>4</v>
      </c>
      <c r="BV47" s="829" t="str">
        <f ca="1">A46</f>
        <v>Canadá</v>
      </c>
      <c r="BW47" s="829">
        <f t="shared" ca="1" si="8"/>
        <v>2220210499.7800002</v>
      </c>
      <c r="BX47" s="829" t="str">
        <f ca="1">VLOOKUP(Q47,$AH$46:$AI$49,2,0)</f>
        <v>Marruecos</v>
      </c>
      <c r="BY47" s="829">
        <f ca="1">VLOOKUP($BX47,$AI$46:$AR$49,10,FALSE)</f>
        <v>3336210499.77</v>
      </c>
      <c r="CA47" s="829">
        <v>2</v>
      </c>
      <c r="CB47" s="829" t="str">
        <f ca="1">VLOOKUP(CA47,$AH$46:$AI$49,2,0)</f>
        <v>Marruecos</v>
      </c>
      <c r="CC47" s="829">
        <f ca="1">VLOOKUP(CB47,$AI$46:$AR$49,2,FALSE)</f>
        <v>3</v>
      </c>
      <c r="CD47" s="836">
        <f ca="1">IF(SUM($AK$46:$AK$49)=12,MIN(ABS(BY46-BY47),ABS(BY47-BY48)),100)</f>
        <v>2000000.009999752</v>
      </c>
      <c r="CE47" s="829">
        <f ca="1">VLOOKUP($CB47,$AI$46:$AR$49,9,FALSE)</f>
        <v>0</v>
      </c>
      <c r="CF47" s="829">
        <f ca="1">VLOOKUP($CB47,$AI$46:$AR$49,7,FALSE)</f>
        <v>3</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0</v>
      </c>
      <c r="CS47" s="827">
        <f t="array" aca="1" ref="CS47" ca="1">IF(AND($CC$47&lt;&gt;$CC$46,$CC$47&lt;&gt;$CC$48),1,0)</f>
        <v>0</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74</v>
      </c>
      <c r="I48" s="419" t="str">
        <f ca="1">A48</f>
        <v>Croacia</v>
      </c>
      <c r="J48" s="420" t="str">
        <f ca="1">VLOOKUP(I48,Equipos!$H$2:$I$33,2,0)</f>
        <v>🇭🇷</v>
      </c>
      <c r="K48" s="432">
        <v>0</v>
      </c>
      <c r="L48" s="432">
        <v>0</v>
      </c>
      <c r="M48" s="427" t="str">
        <f ca="1">VLOOKUP(N48,Equipos!$H$2:$I$33,2,0)</f>
        <v>🇧🇪</v>
      </c>
      <c r="N48" s="428" t="str">
        <f ca="1">A45</f>
        <v>Bélgica</v>
      </c>
      <c r="O48" s="385">
        <f t="shared" si="32"/>
        <v>1</v>
      </c>
      <c r="P48" s="88"/>
      <c r="Q48" s="403">
        <v>3</v>
      </c>
      <c r="R48" s="4" t="str">
        <f ca="1">VLOOKUP(Q48,$AG$46:$AI$49,3,0)</f>
        <v>Croacia</v>
      </c>
      <c r="S48" s="3">
        <f ca="1">VLOOKUP(R48,$AI$46:$AR$49,2,FALSE)</f>
        <v>3</v>
      </c>
      <c r="T48" s="3">
        <f ca="1">VLOOKUP($R48,$AI$46:$AR$49,3,FALSE)</f>
        <v>3</v>
      </c>
      <c r="U48" s="3">
        <f ca="1">VLOOKUP($R48,$AI$46:$AR$49,4,FALSE)</f>
        <v>0</v>
      </c>
      <c r="V48" s="3">
        <f ca="1">VLOOKUP($R48,$AI$46:$AR$49,5,FALSE)</f>
        <v>3</v>
      </c>
      <c r="W48" s="3">
        <f ca="1">VLOOKUP($R48,$AI$46:$AR$49,6,FALSE)</f>
        <v>0</v>
      </c>
      <c r="X48" s="3">
        <f ca="1">VLOOKUP($R48,$AI$46:$AR$49,7,FALSE)</f>
        <v>1</v>
      </c>
      <c r="Y48" s="3">
        <f ca="1">VLOOKUP($R48,$AI$46:$AR$49,8,FALSE)</f>
        <v>1</v>
      </c>
      <c r="Z48" s="404">
        <f ca="1">VLOOKUP($R48,$AI$46:$AR$49,9,FALSE)</f>
        <v>0</v>
      </c>
      <c r="AA48" s="395">
        <f ca="1">IF(SUM($AK$46:$AK$49)=12,MIN(ABS(BY47-BY48),ABS(BY48-BY49)),100)</f>
        <v>2000000.009999752</v>
      </c>
      <c r="AB48" s="101" t="str">
        <f ca="1">IF(AND(AA48&gt;=0,AA48&lt;90),VLOOKUP(Q48,$BU$46:$BV$49,2,0),"")</f>
        <v/>
      </c>
      <c r="AC48" s="78"/>
      <c r="AD48" s="79"/>
      <c r="AE48" s="365"/>
      <c r="AF48" s="828">
        <f ca="1">VLOOKUP($R48,$AI$46:$AR$49,10,FALSE)</f>
        <v>3334210499.7600002</v>
      </c>
      <c r="AG48" s="827">
        <f ca="1">RANK(AU48,$AU$46:$AU$49)</f>
        <v>2</v>
      </c>
      <c r="AH48" s="827">
        <f ca="1">RANK(AR48,$AR$46:$AR$49)</f>
        <v>2</v>
      </c>
      <c r="AI48" s="829" t="str">
        <f ca="1">A47</f>
        <v>Marruecos</v>
      </c>
      <c r="AJ48" s="827">
        <f ca="1">AL48*3+AM48*1+AN48*0</f>
        <v>3</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3</v>
      </c>
      <c r="AN48" s="827">
        <f t="array" aca="1" ref="AN48" ca="1">SUM(($I$4:$I$65=AI48)*($L$4:$L$65&lt;&gt;"")*($K$4:$K$65&lt;&gt;"")*($K$4:$K$65&lt;$L$4:$L$65),($K$4:$K$65&lt;&gt;"")*($N$4:$N$65=AI48)*($L$4:$L$65&lt;&gt;"")*($K$4:$K$65&gt;$L$4:$L$65))</f>
        <v>0</v>
      </c>
      <c r="AO48" s="827">
        <f t="array" aca="1" ref="AO48" ca="1">SUMIFS($K$4:$K$65,$I$4:$I$65,AI48,$K$4:$K$65,"&lt;&gt;",$L$4:$L$65,"&lt;&gt;")+SUMIFS($L$4:$L$65,$N$4:$N$65,AI48,$K$4:$K$65,"&lt;&gt;",$L$4:$L$65,"&lt;&gt;")</f>
        <v>3</v>
      </c>
      <c r="AP48" s="827">
        <f t="array" aca="1" ref="AP48" ca="1">SUMIFS($K$4:$K$65,$N$4:$N$65,AI48,$K$4:$K$65,"&lt;&gt;",$L$4:$L$65,"&lt;&gt;")+SUMIFS($L$4:$L$65,$I$4:$I$65,AI48,$K$4:$K$65,"&lt;&gt;",$L$4:$L$65,"&lt;&gt;")</f>
        <v>3</v>
      </c>
      <c r="AQ48" s="827">
        <f ca="1">AO48-AP48</f>
        <v>0</v>
      </c>
      <c r="AR48" s="827">
        <f ca="1">IF(AK48=0,-($AW$11*VLOOKUP(AI48,Tabla3[[NombreEquipo]:[Rank]],3,FALSE)),AJ48*$AW$4+AQ48*$AW$5+AO48*$AW$6+BA48-($AW$11*VLOOKUP(AI48,Tabla3[[NombreEquipo]:[Rank]],3,FALSE)/100))</f>
        <v>3336210499.77</v>
      </c>
      <c r="AS48" s="827">
        <f ca="1">AH48</f>
        <v>2</v>
      </c>
      <c r="AT48" s="827"/>
      <c r="AU48" s="827">
        <f ca="1">IFERROR(AR48-VLOOKUP(AI48,$AB$46:$AC$49,2,0),AR48)</f>
        <v>3336210499.77</v>
      </c>
      <c r="AV48" s="827"/>
      <c r="AW48" s="830"/>
      <c r="AX48" s="827"/>
      <c r="AY48" s="834" t="str">
        <f ca="1">AI48</f>
        <v>Marruecos</v>
      </c>
      <c r="AZ48" s="827">
        <f ca="1">COUNTIF(AJ46:AJ49,AJ48)</f>
        <v>2</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2</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0</v>
      </c>
      <c r="BK48" s="835">
        <f ca="1">BE48-BF47</f>
        <v>0</v>
      </c>
      <c r="BL48" s="835">
        <v>0</v>
      </c>
      <c r="BM48" s="835">
        <f ca="1">BG48-BF49</f>
        <v>0</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1</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1</v>
      </c>
      <c r="BT48" s="829">
        <v>3</v>
      </c>
      <c r="BU48" s="829">
        <f ca="1">RANK(BW48,$BW$46:$BW$49)</f>
        <v>2</v>
      </c>
      <c r="BV48" s="829" t="str">
        <f ca="1">A47</f>
        <v>Marruecos</v>
      </c>
      <c r="BW48" s="829">
        <f t="shared" ca="1" si="8"/>
        <v>3336210499.77</v>
      </c>
      <c r="BX48" s="829" t="str">
        <f ca="1">VLOOKUP(Q48,$AH$46:$AI$49,2,0)</f>
        <v>Croacia</v>
      </c>
      <c r="BY48" s="829">
        <f ca="1">VLOOKUP($BX48,$AI$46:$AR$49,10,FALSE)</f>
        <v>3334210499.7600002</v>
      </c>
      <c r="CA48" s="829">
        <v>3</v>
      </c>
      <c r="CB48" s="829" t="str">
        <f ca="1">VLOOKUP(CA48,$AH$46:$AI$49,2,0)</f>
        <v>Croacia</v>
      </c>
      <c r="CC48" s="829">
        <f ca="1">VLOOKUP(CB48,$AI$46:$AR$49,2,FALSE)</f>
        <v>3</v>
      </c>
      <c r="CD48" s="836">
        <f ca="1">IF(SUM($AK$46:$AK$49)=12,MIN(ABS(BY47-BY48),ABS(BY48-BY49)),100)</f>
        <v>2000000.009999752</v>
      </c>
      <c r="CE48" s="829">
        <f ca="1">VLOOKUP($CB48,$AI$46:$AR$49,9,FALSE)</f>
        <v>0</v>
      </c>
      <c r="CF48" s="829">
        <f ca="1">VLOOKUP($CB48,$AI$46:$AR$49,7,FALSE)</f>
        <v>1</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0</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0</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42"/>
      <c r="F49" s="421">
        <f>Horarios!C49</f>
        <v>44896.75</v>
      </c>
      <c r="G49" s="422">
        <f>Horarios!C49</f>
        <v>44896.75</v>
      </c>
      <c r="H49" s="421" t="s">
        <v>74</v>
      </c>
      <c r="I49" s="423" t="str">
        <f ca="1">A46</f>
        <v>Canadá</v>
      </c>
      <c r="J49" s="424" t="str">
        <f ca="1">VLOOKUP(I49,Equipos!$H$2:$I$33,2,0)</f>
        <v>🇨🇦</v>
      </c>
      <c r="K49" s="433">
        <v>1</v>
      </c>
      <c r="L49" s="433">
        <v>1</v>
      </c>
      <c r="M49" s="429" t="str">
        <f ca="1">VLOOKUP(N49,Equipos!$H$2:$I$33,2,0)</f>
        <v>🇲🇦</v>
      </c>
      <c r="N49" s="430" t="str">
        <f ca="1">A47</f>
        <v>Marruecos</v>
      </c>
      <c r="O49" s="385">
        <f t="shared" si="32"/>
        <v>1</v>
      </c>
      <c r="P49" s="88"/>
      <c r="Q49" s="405">
        <v>4</v>
      </c>
      <c r="R49" s="406" t="str">
        <f ca="1">VLOOKUP(Q49,$AG$46:$AI$49,3,0)</f>
        <v>Canadá</v>
      </c>
      <c r="S49" s="407">
        <f ca="1">VLOOKUP(R49,$AI$46:$AR$49,2,FALSE)</f>
        <v>2</v>
      </c>
      <c r="T49" s="407">
        <f ca="1">VLOOKUP($R49,$AI$46:$AR$49,3,FALSE)</f>
        <v>3</v>
      </c>
      <c r="U49" s="407">
        <f ca="1">VLOOKUP($R49,$AI$46:$AR$49,4,FALSE)</f>
        <v>0</v>
      </c>
      <c r="V49" s="407">
        <f ca="1">VLOOKUP($R49,$AI$46:$AR$49,5,FALSE)</f>
        <v>2</v>
      </c>
      <c r="W49" s="407">
        <f ca="1">VLOOKUP($R49,$AI$46:$AR$49,6,FALSE)</f>
        <v>1</v>
      </c>
      <c r="X49" s="407">
        <f ca="1">VLOOKUP($R49,$AI$46:$AR$49,7,FALSE)</f>
        <v>3</v>
      </c>
      <c r="Y49" s="407">
        <f ca="1">VLOOKUP($R49,$AI$46:$AR$49,8,FALSE)</f>
        <v>4</v>
      </c>
      <c r="Z49" s="408">
        <f ca="1">VLOOKUP($R49,$AI$46:$AR$49,9,FALSE)</f>
        <v>-1</v>
      </c>
      <c r="AA49" s="395">
        <f ca="1">IF(SUM($AK$46:$AK$49)=12,MIN(ABS(BY48-BY49),ABS(BY49-BY50)),100)</f>
        <v>1113999999.98</v>
      </c>
      <c r="AB49" s="101" t="str">
        <f ca="1">IF(AND(AA49&gt;=0,AA49&lt;90),VLOOKUP(Q49,$BU$46:$BV$49,2,0),"")</f>
        <v/>
      </c>
      <c r="AC49" s="78"/>
      <c r="AD49" s="79"/>
      <c r="AE49" s="365"/>
      <c r="AF49" s="828">
        <f ca="1">VLOOKUP($R49,$AI$46:$AR$49,10,FALSE)</f>
        <v>2220210499.7800002</v>
      </c>
      <c r="AG49" s="827">
        <f ca="1">RANK(AU49,$AU$46:$AU$49)</f>
        <v>3</v>
      </c>
      <c r="AH49" s="827">
        <f ca="1">RANK(AR49,$AR$46:$AR$49)</f>
        <v>3</v>
      </c>
      <c r="AI49" s="829" t="str">
        <f ca="1">A48</f>
        <v>Croacia</v>
      </c>
      <c r="AJ49" s="827">
        <f ca="1">AL49*3+AM49*1+AN49*0</f>
        <v>3</v>
      </c>
      <c r="AK49" s="827">
        <f ca="1">COUNTIFS($I$4:$I$65,AI49,$K$4:$K$65,"&lt;&gt;",$L$4:$L$65,"&lt;&gt;")+COUNTIFS($N$4:$N$65,AI49,$L$4:$L$65,"&lt;&gt;",$K$4:$K$65,"&lt;&gt;")</f>
        <v>3</v>
      </c>
      <c r="AL49" s="827">
        <f t="array" aca="1" ref="AL49" ca="1">SUM(($I$4:$I$65=AI49)*($K$4:$K$65&lt;&gt;"")*($L$4:$L$65&lt;&gt;"")*($K$4:$K$65&gt;$L$4:$L$65),($N$4:$N$65=AI49)*($K$4:$K$65&lt;&gt;"")*($L$4:$L$65&lt;&gt;"")*($K$4:$K$65&lt;$L$4:$L$65))</f>
        <v>0</v>
      </c>
      <c r="AM49" s="827">
        <f t="array" aca="1" ref="AM49" ca="1">SUM(($I$4:$I$65=AI49)*($K$4:$K$65&lt;&gt;"")*($L$4:$L$65&lt;&gt;"")*($K$4:$K$65=$L$4:$L$65),($N$4:$N$65=AI49)*($K$4:$K$65&lt;&gt;"")*($L$4:$L$65&lt;&gt;"")*($K$4:$K$65=$L$4:$L$65))</f>
        <v>3</v>
      </c>
      <c r="AN49" s="827">
        <f t="array" aca="1" ref="AN49" ca="1">SUM(($I$4:$I$65=AI49)*($L$4:$L$65&lt;&gt;"")*($K$4:$K$65&lt;&gt;"")*($K$4:$K$65&lt;$L$4:$L$65),($K$4:$K$65&lt;&gt;"")*($N$4:$N$65=AI49)*($L$4:$L$65&lt;&gt;"")*($K$4:$K$65&gt;$L$4:$L$65))</f>
        <v>0</v>
      </c>
      <c r="AO49" s="827">
        <f t="array" aca="1" ref="AO49" ca="1">SUMIFS($K$4:$K$65,$I$4:$I$65,AI49,$K$4:$K$65,"&lt;&gt;",$L$4:$L$65,"&lt;&gt;")+SUMIFS($L$4:$L$65,$N$4:$N$65,AI49,$K$4:$K$65,"&lt;&gt;",$L$4:$L$65,"&lt;&gt;")</f>
        <v>1</v>
      </c>
      <c r="AP49" s="827">
        <f t="array" aca="1" ref="AP49" ca="1">SUMIFS($K$4:$K$65,$N$4:$N$65,AI49,$K$4:$K$65,"&lt;&gt;",$L$4:$L$65,"&lt;&gt;")+SUMIFS($L$4:$L$65,$I$4:$I$65,AI49,$K$4:$K$65,"&lt;&gt;",$L$4:$L$65,"&lt;&gt;")</f>
        <v>1</v>
      </c>
      <c r="AQ49" s="827">
        <f ca="1">AO49-AP49</f>
        <v>0</v>
      </c>
      <c r="AR49" s="827">
        <f ca="1">IF(AK49=0,-($AW$11*VLOOKUP(AI49,Tabla3[[NombreEquipo]:[Rank]],3,FALSE)),AJ49*$AW$4+AQ49*$AW$5+AO49*$AW$6+BA49-($AW$11*VLOOKUP(AI49,Tabla3[[NombreEquipo]:[Rank]],3,FALSE)/100))</f>
        <v>3334210499.7600002</v>
      </c>
      <c r="AS49" s="827">
        <f ca="1">AH49</f>
        <v>3</v>
      </c>
      <c r="AT49" s="827"/>
      <c r="AU49" s="827">
        <f ca="1">IFERROR(AR49-VLOOKUP(AI49,$AB$46:$AC$49,2,0),AR49)</f>
        <v>3334210499.7600002</v>
      </c>
      <c r="AV49" s="827"/>
      <c r="AW49" s="830"/>
      <c r="AX49" s="827"/>
      <c r="AY49" s="834" t="str">
        <f ca="1">AI49</f>
        <v>Croacia</v>
      </c>
      <c r="AZ49" s="827">
        <f ca="1">COUNTIF(AJ46:AJ49,AJ49)</f>
        <v>2</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0</v>
      </c>
      <c r="BE49" s="835">
        <f t="array" aca="1" ref="BE49" ca="1">SUMIFS($K$44:$K$49,$I$44:$I$49,$AY49,$K$44:$K$49,"&lt;&gt;",$L$44:$L$49,"&lt;&gt;",$N$44:$N$49,BE45)+SUMIFS($L$44:$L$49,$I$44:$I$49,BE45,$K$44:$K$49,"&lt;&gt;",$L$44:$L$49,"&lt;&gt;",$N$44:$N$49,$AY49)</f>
        <v>1</v>
      </c>
      <c r="BF49" s="835">
        <f t="array" aca="1" ref="BF49" ca="1">SUMIFS($K$44:$K$49,$I$44:$I$49,$AY49,$K$44:$K$49,"&lt;&gt;",$L$44:$L$49,"&lt;&gt;",$N$44:$N$49,BF45)+SUMIFS($L$44:$L$49,$I$44:$I$49,BF45,$K$44:$K$49,"&lt;&gt;",$L$44:$L$49,"&lt;&gt;",$N$44:$N$49,$AY49)</f>
        <v>0</v>
      </c>
      <c r="BG49" s="835">
        <v>0</v>
      </c>
      <c r="BH49" s="835">
        <f ca="1">RANK(BI49,BI46:BI49,1)</f>
        <v>1</v>
      </c>
      <c r="BI49" s="835">
        <f ca="1">SUM(IF(AND(AJ49=AJ46,AQ49=AQ46,AO49=AO46),BJ49,0),IF(AND(AJ49=AJ47,AQ49=AQ47,AO49=AO47),BK49,0),IF(AND(AJ49=AJ48,AQ49=AQ48,AO49=AO48),BL49,0))</f>
        <v>0</v>
      </c>
      <c r="BJ49" s="835">
        <f ca="1">BD49-BG46</f>
        <v>0</v>
      </c>
      <c r="BK49" s="835">
        <f ca="1">BE49-BG47</f>
        <v>0</v>
      </c>
      <c r="BL49" s="835">
        <f ca="1">BF49-BG48</f>
        <v>0</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1</v>
      </c>
      <c r="BR49" s="835">
        <f t="array" aca="1" ref="BR49" ca="1">SUM((I$4:I$49=AY49)*(N$4:N$49=BR45)*(K$4:K$49&lt;&gt;"")*(L$4:L$49&lt;&gt;"")*(K$4:K$49&gt;L$4:L$49)*3,(N$4:N$49=AY49)*(I$4:I$49=BR45)*(K$4:K$49&lt;&gt;"")*(L$4:L$49&lt;&gt;"")*(K$4:K$49=L$4:L$49)*1,(N$4:N$49=AY49)*(I$4:I$49=BR45)*(K$4:K$49&lt;&gt;"")*(L$4:L$49&lt;&gt;"")*(K$4:K$49&lt;L$4:L$49)*3,(I$4:I$49=AY49)*(N$4:N$49=BR45)*(K$4:K$49&lt;&gt;"")*(L$4:L$49&lt;&gt;"")*(K$4:K$49=L$4:L$49)*1)</f>
        <v>1</v>
      </c>
      <c r="BS49" s="835">
        <v>0</v>
      </c>
      <c r="BT49" s="829">
        <v>4</v>
      </c>
      <c r="BU49" s="829">
        <f ca="1">RANK(BW49,$BW$46:$BW$49)</f>
        <v>3</v>
      </c>
      <c r="BV49" s="829" t="str">
        <f ca="1">A48</f>
        <v>Croacia</v>
      </c>
      <c r="BW49" s="829">
        <f t="shared" ca="1" si="8"/>
        <v>3334210499.7600002</v>
      </c>
      <c r="BX49" s="829" t="str">
        <f ca="1">VLOOKUP(Q49,$AH$46:$AI$49,2,0)</f>
        <v>Canadá</v>
      </c>
      <c r="BY49" s="829">
        <f ca="1">VLOOKUP($BX49,$AI$46:$AR$49,10,FALSE)</f>
        <v>2220210499.7800002</v>
      </c>
      <c r="CA49" s="829">
        <v>4</v>
      </c>
      <c r="CB49" s="829" t="str">
        <f ca="1">VLOOKUP(CA49,$AH$46:$AI$49,2,0)</f>
        <v>Canadá</v>
      </c>
      <c r="CC49" s="829">
        <f ca="1">VLOOKUP(CB49,$AI$46:$AR$49,2,FALSE)</f>
        <v>2</v>
      </c>
      <c r="CD49" s="836">
        <f ca="1">IF(SUM($AK$46:$AK$49)=12,MIN(ABS(BY48-BY49),ABS(BY49-BY50)),100)</f>
        <v>1113999999.98</v>
      </c>
      <c r="CE49" s="829">
        <f ca="1">VLOOKUP($CB49,$AI$46:$AR$49,9,FALSE)</f>
        <v>-1</v>
      </c>
      <c r="CF49" s="829">
        <f ca="1">VLOOKUP($CB49,$AI$46:$AR$49,7,FALSE)</f>
        <v>3</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44889.541666666664</v>
      </c>
      <c r="G52" s="266">
        <f>Horarios!C52</f>
        <v>44889.541666666664</v>
      </c>
      <c r="H52" s="265" t="s">
        <v>72</v>
      </c>
      <c r="I52" s="267" t="str">
        <f ca="1">A55</f>
        <v>Suiza</v>
      </c>
      <c r="J52" s="268" t="str">
        <f ca="1">VLOOKUP(I52,Equipos!$H$2:$I$33,2,0)</f>
        <v>🇨🇭</v>
      </c>
      <c r="K52" s="269">
        <v>2</v>
      </c>
      <c r="L52" s="269">
        <v>2</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72</v>
      </c>
      <c r="I53" s="262" t="str">
        <f ca="1">A53</f>
        <v>Brasil</v>
      </c>
      <c r="J53" s="263" t="str">
        <f ca="1">VLOOKUP(I53,Equipos!$H$2:$I$33,2,0)</f>
        <v>🇧🇷</v>
      </c>
      <c r="K53" s="264">
        <v>4</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73</v>
      </c>
      <c r="I54" s="262" t="str">
        <f ca="1">A56</f>
        <v>Camerún</v>
      </c>
      <c r="J54" s="263" t="str">
        <f ca="1">VLOOKUP(I54,Equipos!$H$2:$I$33,2,0)</f>
        <v>🇨🇲</v>
      </c>
      <c r="K54" s="264">
        <v>2</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11</v>
      </c>
      <c r="Y54" s="324">
        <f ca="1">VLOOKUP($R54,$AI$54:$AR$57,8,FALSE)</f>
        <v>1</v>
      </c>
      <c r="Z54" s="325">
        <f ca="1">VLOOKUP($R54,$AI$54:$AR$57,9,FALSE)</f>
        <v>10</v>
      </c>
      <c r="AA54" s="395">
        <f ca="1">IF(SUM($AK$54:$AK$57)=12,MIN(ABS(BY53-BY54),ABS(BY54-BY55)),100)</f>
        <v>5627000000.0299997</v>
      </c>
      <c r="AB54" s="101" t="str">
        <f ca="1">IF(AND(AA54&gt;=0,AA54&lt;90),VLOOKUP(Q54,$BU$54:$BV$57,2,0),"")</f>
        <v/>
      </c>
      <c r="AC54" s="78"/>
      <c r="AD54" s="79"/>
      <c r="AE54" s="365"/>
      <c r="AF54" s="828">
        <f ca="1">VLOOKUP($R54,$AI$54:$AR$57,10,FALSE)</f>
        <v>10060210499.75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11</v>
      </c>
      <c r="AP54" s="827">
        <f t="array" aca="1" ref="AP54" ca="1">SUMIFS($K$4:$K$65,$N$4:$N$65,AI54,$K$4:$K$65,"&lt;&gt;",$L$4:$L$65,"&lt;&gt;")+SUMIFS($L$4:$L$65,$I$4:$I$65,AI54,$K$4:$K$65,"&lt;&gt;",$L$4:$L$65,"&lt;&gt;")</f>
        <v>1</v>
      </c>
      <c r="AQ54" s="827">
        <f ca="1">AO54-AP54</f>
        <v>10</v>
      </c>
      <c r="AR54" s="827">
        <f ca="1">IF(AK54=0,-($AW$11*VLOOKUP(AI54,Tabla3[[NombreEquipo]:[Rank]],3,FALSE)),AJ54*$AW$4+AQ54*$AW$5+AO54*$AW$6+BA54-($AW$11*VLOOKUP(AI54,Tabla3[[NombreEquipo]:[Rank]],3,FALSE)/100))</f>
        <v>10060210499.75</v>
      </c>
      <c r="AS54" s="827">
        <f ca="1">AH54</f>
        <v>1</v>
      </c>
      <c r="AT54" s="827"/>
      <c r="AU54" s="827">
        <f ca="1">IFERROR(AR54-VLOOKUP(AI54,$AB$54:$AC$57,2,0),AR54)</f>
        <v>10060210499.75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4</v>
      </c>
      <c r="BF54" s="835">
        <f t="array" aca="1" ref="BF54" ca="1">SUMIFS($K$52:$K$57,$I$52:$I$57,$AY54,$K$52:$K$57,"&lt;&gt;",$L$52:$L$57,"&lt;&gt;",$N$52:$N$57,BF53)+SUMIFS($L$52:$L$57,$I$52:$I$57,BF53,$K$52:$K$57,"&lt;&gt;",$L$52:$L$57,"&lt;&gt;",$N$52:$N$57,$AY54)</f>
        <v>3</v>
      </c>
      <c r="BG54" s="835">
        <f t="array" aca="1" ref="BG54" ca="1">SUMIFS($K$52:$K$57,$I$52:$I$57,$AY54,$K$52:$K$57,"&lt;&gt;",$L$52:$L$57,"&lt;&gt;",$N$52:$N$57,BG53)+SUMIFS($L$52:$L$57,$I$52:$I$57,BG53,$K$52:$K$57,"&lt;&gt;",$L$52:$L$57,"&lt;&gt;",$N$52:$N$57,$AY54)</f>
        <v>4</v>
      </c>
      <c r="BH54" s="835">
        <f ca="1">RANK(BI54,BI54:BI57,1)</f>
        <v>1</v>
      </c>
      <c r="BI54" s="835">
        <f ca="1">SUM(IF(AND(AJ54=AJ55,AQ54=AQ55,AO54=AO55),BK54,0),IF(AND(AJ54=AJ56,AQ54=AQ56,AO54=AO56),BL54,0),IF(AND(AJ54=AJ57,AQ54=AQ57,AO54=AO57),BM54,0))</f>
        <v>0</v>
      </c>
      <c r="BJ54" s="835">
        <v>0</v>
      </c>
      <c r="BK54" s="835">
        <f ca="1">BE54-BD55</f>
        <v>4</v>
      </c>
      <c r="BL54" s="835">
        <f ca="1">BF54-BD56</f>
        <v>2</v>
      </c>
      <c r="BM54" s="835">
        <f ca="1">BG54-BD57</f>
        <v>4</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10060210499.75</v>
      </c>
      <c r="BX54" s="829" t="str">
        <f ca="1">VLOOKUP(Q54,$AH$54:$AI$57,2,0)</f>
        <v>Brasil</v>
      </c>
      <c r="BY54" s="829">
        <f ca="1">VLOOKUP($BX54,$AI$54:$AR$57,10,FALSE)</f>
        <v>10060210499.75</v>
      </c>
      <c r="CA54" s="829">
        <v>1</v>
      </c>
      <c r="CB54" s="829" t="str">
        <f ca="1">VLOOKUP(CA54,$AH$54:$AI$57,2,0)</f>
        <v>Brasil</v>
      </c>
      <c r="CC54" s="829">
        <f ca="1">VLOOKUP(CB54,$AI$54:$AR$57,2,FALSE)</f>
        <v>9</v>
      </c>
      <c r="CD54" s="836">
        <f ca="1">IF(SUM($AK$54:$AK$57)=12,MIN(ABS(BY53-BY54),ABS(BY54-BY55)),100)</f>
        <v>5627000000.0299997</v>
      </c>
      <c r="CE54" s="829">
        <f ca="1">VLOOKUP($CB54,$AI$54:$AR$57,9,FALSE)</f>
        <v>10</v>
      </c>
      <c r="CF54" s="829">
        <f ca="1">VLOOKUP($CB54,$AI$54:$AR$57,7,FALSE)</f>
        <v>11</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73</v>
      </c>
      <c r="I55" s="262" t="str">
        <f ca="1">A53</f>
        <v>Brasil</v>
      </c>
      <c r="J55" s="263" t="str">
        <f ca="1">VLOOKUP(I55,Equipos!$H$2:$I$33,2,0)</f>
        <v>🇧🇷</v>
      </c>
      <c r="K55" s="264">
        <v>3</v>
      </c>
      <c r="L55" s="264">
        <v>1</v>
      </c>
      <c r="M55" s="382" t="str">
        <f ca="1">VLOOKUP(N55,Equipos!$H$2:$I$33,2,0)</f>
        <v>🇨🇭</v>
      </c>
      <c r="N55" s="271" t="str">
        <f ca="1">A55</f>
        <v>Suiza</v>
      </c>
      <c r="O55" s="385">
        <f t="shared" si="39"/>
        <v>1</v>
      </c>
      <c r="P55" s="88"/>
      <c r="Q55" s="315">
        <v>2</v>
      </c>
      <c r="R55" s="4" t="str">
        <f ca="1">VLOOKUP(Q55,$AG$54:$AI$57,3,0)</f>
        <v>Camerún</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4</v>
      </c>
      <c r="Y55" s="3">
        <f ca="1">VLOOKUP($R55,$AI$54:$AR$57,8,FALSE)</f>
        <v>7</v>
      </c>
      <c r="Z55" s="316">
        <f ca="1">VLOOKUP($R55,$AI$54:$AR$57,9,FALSE)</f>
        <v>-3</v>
      </c>
      <c r="AA55" s="395">
        <f ca="1">IF(SUM($AK$54:$AK$57)=12,MIN(ABS(BY54-BY55),ABS(BY55-BY56)),100)</f>
        <v>2217999999.9900002</v>
      </c>
      <c r="AB55" s="101" t="str">
        <f ca="1">IF(AND(AA55&gt;=0,AA55&lt;90),VLOOKUP(Q55,$BU$54:$BV$57,2,0),"")</f>
        <v/>
      </c>
      <c r="AC55" s="78"/>
      <c r="AD55" s="79"/>
      <c r="AE55" s="365"/>
      <c r="AF55" s="828">
        <f ca="1">VLOOKUP($R55,$AI$54:$AR$57,10,FALSE)</f>
        <v>4433210499.7200003</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1</v>
      </c>
      <c r="AP55" s="827">
        <f t="array" aca="1" ref="AP55" ca="1">SUMIFS($K$4:$K$65,$N$4:$N$65,AI55,$K$4:$K$65,"&lt;&gt;",$L$4:$L$65,"&lt;&gt;")+SUMIFS($L$4:$L$65,$I$4:$I$65,AI55,$K$4:$K$65,"&lt;&gt;",$L$4:$L$65,"&lt;&gt;")</f>
        <v>6</v>
      </c>
      <c r="AQ55" s="827">
        <f ca="1">AO55-AP55</f>
        <v>-5</v>
      </c>
      <c r="AR55" s="827">
        <f ca="1">IF(AK55=0,-($AW$11*VLOOKUP(AI55,Tabla3[[NombreEquipo]:[Rank]],3,FALSE)),AJ55*$AW$4+AQ55*$AW$5+AO55*$AW$6+BA55-($AW$11*VLOOKUP(AI55,Tabla3[[NombreEquipo]:[Rank]],3,FALSE)/100))</f>
        <v>1087210499.74</v>
      </c>
      <c r="AS55" s="827">
        <f ca="1">AH55</f>
        <v>4</v>
      </c>
      <c r="AT55" s="827"/>
      <c r="AU55" s="827">
        <f ca="1">IFERROR(AR55-VLOOKUP(AI55,$AB$54:$AC$57,2,0),AR55)</f>
        <v>1087210499.74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0</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-4</v>
      </c>
      <c r="BK55" s="835">
        <v>0</v>
      </c>
      <c r="BL55" s="835">
        <f ca="1">BF55-BE56</f>
        <v>0</v>
      </c>
      <c r="BM55" s="835">
        <f ca="1">BG55-BE57</f>
        <v>-1</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0</v>
      </c>
      <c r="BT55" s="829">
        <v>2</v>
      </c>
      <c r="BU55" s="829">
        <f ca="1">RANK(BW55,$BW$54:$BW$57)</f>
        <v>4</v>
      </c>
      <c r="BV55" s="829" t="str">
        <f ca="1">A54</f>
        <v>Serbia</v>
      </c>
      <c r="BW55" s="829">
        <f t="shared" ca="1" si="8"/>
        <v>1087210499.74</v>
      </c>
      <c r="BX55" s="829" t="str">
        <f ca="1">VLOOKUP(Q55,$AH$54:$AI$57,2,0)</f>
        <v>Camerún</v>
      </c>
      <c r="BY55" s="829">
        <f ca="1">VLOOKUP($BX55,$AI$54:$AR$57,10,FALSE)</f>
        <v>4433210499.7200003</v>
      </c>
      <c r="CA55" s="829">
        <v>2</v>
      </c>
      <c r="CB55" s="829" t="str">
        <f ca="1">VLOOKUP(CA55,$AH$54:$AI$57,2,0)</f>
        <v>Camerún</v>
      </c>
      <c r="CC55" s="829">
        <f ca="1">VLOOKUP(CB55,$AI$54:$AR$57,2,FALSE)</f>
        <v>4</v>
      </c>
      <c r="CD55" s="836">
        <f ca="1">IF(SUM($AK$54:$AK$57)=12,MIN(ABS(BY54-BY55),ABS(BY55-BY56)),100)</f>
        <v>2217999999.9900002</v>
      </c>
      <c r="CE55" s="829">
        <f ca="1">VLOOKUP($CB55,$AI$54:$AR$57,9,FALSE)</f>
        <v>-3</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74</v>
      </c>
      <c r="I56" s="262" t="str">
        <f ca="1">A54</f>
        <v>Serbia</v>
      </c>
      <c r="J56" s="263" t="str">
        <f ca="1">VLOOKUP(I56,Equipos!$H$2:$I$33,2,0)</f>
        <v>🇷🇸</v>
      </c>
      <c r="K56" s="264">
        <v>0</v>
      </c>
      <c r="L56" s="264">
        <v>0</v>
      </c>
      <c r="M56" s="382" t="str">
        <f ca="1">VLOOKUP(N56,Equipos!$H$2:$I$33,2,0)</f>
        <v>🇨🇭</v>
      </c>
      <c r="N56" s="271" t="str">
        <f ca="1">A55</f>
        <v>Suiza</v>
      </c>
      <c r="O56" s="385">
        <f t="shared" si="39"/>
        <v>1</v>
      </c>
      <c r="P56" s="88"/>
      <c r="Q56" s="315">
        <v>3</v>
      </c>
      <c r="R56" s="4" t="str">
        <f ca="1">VLOOKUP(Q56,$AG$54:$AI$57,3,0)</f>
        <v>Suiza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3</v>
      </c>
      <c r="Y56" s="3">
        <f ca="1">VLOOKUP($R56,$AI$54:$AR$57,8,FALSE)</f>
        <v>5</v>
      </c>
      <c r="Z56" s="316">
        <f ca="1">VLOOKUP($R56,$AI$54:$AR$57,9,FALSE)</f>
        <v>-2</v>
      </c>
      <c r="AA56" s="395">
        <f ca="1">IF(SUM($AK$54:$AK$57)=12,MIN(ABS(BY55-BY56),ABS(BY56-BY57)),100)</f>
        <v>1127999999.99</v>
      </c>
      <c r="AB56" s="101" t="str">
        <f ca="1">IF(AND(AA56&gt;=0,AA56&lt;90),VLOOKUP(Q56,$BU$54:$BV$57,2,0),"")</f>
        <v/>
      </c>
      <c r="AC56" s="78"/>
      <c r="AD56" s="79"/>
      <c r="AE56" s="365"/>
      <c r="AF56" s="828">
        <f ca="1">VLOOKUP($R56,$AI$54:$AR$57,10,FALSE)</f>
        <v>2215210499.73</v>
      </c>
      <c r="AG56" s="827">
        <f ca="1">RANK(AU56,$AU$54:$AU$57)</f>
        <v>3</v>
      </c>
      <c r="AH56" s="827">
        <f ca="1">RANK(AR56,$AR$54:$AR$57)</f>
        <v>3</v>
      </c>
      <c r="AI56" s="829" t="str">
        <f ca="1">A55</f>
        <v>Suiza</v>
      </c>
      <c r="AJ56" s="827">
        <f ca="1">AL56*3+AM56*1+AN56*0</f>
        <v>2</v>
      </c>
      <c r="AK56" s="827">
        <f ca="1">COUNTIFS($I$4:$I$65,AI56,$K$4:$K$65,"&lt;&gt;",$L$4:$L$65,"&lt;&gt;")+COUNTIFS($N$4:$N$65,AI56,$L$4:$L$65,"&lt;&gt;",$K$4:$K$65,"&lt;&gt;")</f>
        <v>3</v>
      </c>
      <c r="AL56" s="827">
        <f t="array" aca="1" ref="AL56" ca="1">SUM(($I$4:$I$65=AI56)*($K$4:$K$65&lt;&gt;"")*($L$4:$L$65&lt;&gt;"")*($K$4:$K$65&gt;$L$4:$L$65),($N$4:$N$65=AI56)*($K$4:$K$65&lt;&gt;"")*($L$4:$L$65&lt;&gt;"")*($K$4:$K$65&lt;$L$4:$L$65))</f>
        <v>0</v>
      </c>
      <c r="AM56" s="827">
        <f t="array" aca="1" ref="AM56" ca="1">SUM(($I$4:$I$65=AI56)*($K$4:$K$65&lt;&gt;"")*($L$4:$L$65&lt;&gt;"")*($K$4:$K$65=$L$4:$L$65),($N$4:$N$65=AI56)*($K$4:$K$65&lt;&gt;"")*($L$4:$L$65&lt;&gt;"")*($K$4:$K$65=$L$4:$L$65))</f>
        <v>2</v>
      </c>
      <c r="AN56" s="827">
        <f t="array" aca="1" ref="AN56" ca="1">SUM(($I$4:$I$65=AI56)*($L$4:$L$65&lt;&gt;"")*($K$4:$K$65&lt;&gt;"")*($K$4:$K$65&lt;$L$4:$L$65),($K$4:$K$65&lt;&gt;"")*($N$4:$N$65=AI56)*($L$4:$L$65&lt;&gt;"")*($K$4:$K$65&gt;$L$4:$L$65))</f>
        <v>1</v>
      </c>
      <c r="AO56" s="827">
        <f t="array" aca="1" ref="AO56" ca="1">SUMIFS($K$4:$K$65,$I$4:$I$65,AI56,$K$4:$K$65,"&lt;&gt;",$L$4:$L$65,"&lt;&gt;")+SUMIFS($L$4:$L$65,$N$4:$N$65,AI56,$K$4:$K$65,"&lt;&gt;",$L$4:$L$65,"&lt;&gt;")</f>
        <v>3</v>
      </c>
      <c r="AP56" s="827">
        <f t="array" aca="1" ref="AP56" ca="1">SUMIFS($K$4:$K$65,$N$4:$N$65,AI56,$K$4:$K$65,"&lt;&gt;",$L$4:$L$65,"&lt;&gt;")+SUMIFS($L$4:$L$65,$I$4:$I$65,AI56,$K$4:$K$65,"&lt;&gt;",$L$4:$L$65,"&lt;&gt;")</f>
        <v>5</v>
      </c>
      <c r="AQ56" s="827">
        <f ca="1">AO56-AP56</f>
        <v>-2</v>
      </c>
      <c r="AR56" s="827">
        <f ca="1">IF(AK56=0,-($AW$11*VLOOKUP(AI56,Tabla3[[NombreEquipo]:[Rank]],3,FALSE)),AJ56*$AW$4+AQ56*$AW$5+AO56*$AW$6+BA56-($AW$11*VLOOKUP(AI56,Tabla3[[NombreEquipo]:[Rank]],3,FALSE)/100))</f>
        <v>2215210499.73</v>
      </c>
      <c r="AS56" s="827">
        <f ca="1">AH56</f>
        <v>3</v>
      </c>
      <c r="AT56" s="827"/>
      <c r="AU56" s="827">
        <f ca="1">IFERROR(AR56-VLOOKUP(AI56,$AB$54:$AC$57,2,0),AR56)</f>
        <v>2215210499.73</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0</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-2</v>
      </c>
      <c r="BK56" s="835">
        <f ca="1">BE56-BF55</f>
        <v>0</v>
      </c>
      <c r="BL56" s="835">
        <v>0</v>
      </c>
      <c r="BM56" s="835">
        <f ca="1">BG56-BF57</f>
        <v>0</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1</v>
      </c>
      <c r="BT56" s="829">
        <v>3</v>
      </c>
      <c r="BU56" s="829">
        <f ca="1">RANK(BW56,$BW$54:$BW$57)</f>
        <v>3</v>
      </c>
      <c r="BV56" s="829" t="str">
        <f ca="1">A55</f>
        <v>Suiza</v>
      </c>
      <c r="BW56" s="829">
        <f t="shared" ca="1" si="8"/>
        <v>2215210499.73</v>
      </c>
      <c r="BX56" s="829" t="str">
        <f ca="1">VLOOKUP(Q56,$AH$54:$AI$57,2,0)</f>
        <v>Suiza</v>
      </c>
      <c r="BY56" s="829">
        <f ca="1">VLOOKUP($BX56,$AI$54:$AR$57,10,FALSE)</f>
        <v>2215210499.73</v>
      </c>
      <c r="CA56" s="829">
        <v>3</v>
      </c>
      <c r="CB56" s="829" t="str">
        <f ca="1">VLOOKUP(CA56,$AH$54:$AI$57,2,0)</f>
        <v>Suiza</v>
      </c>
      <c r="CC56" s="829">
        <f ca="1">VLOOKUP(CB56,$AI$54:$AR$57,2,FALSE)</f>
        <v>2</v>
      </c>
      <c r="CD56" s="836">
        <f ca="1">IF(SUM($AK$54:$AK$57)=12,MIN(ABS(BY55-BY56),ABS(BY56-BY57)),100)</f>
        <v>1127999999.99</v>
      </c>
      <c r="CE56" s="829">
        <f ca="1">VLOOKUP($CB56,$AI$54:$AR$57,9,FALSE)</f>
        <v>-2</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9"/>
      <c r="F57" s="272">
        <f>Horarios!C57</f>
        <v>44897.916666666664</v>
      </c>
      <c r="G57" s="273">
        <f>Horarios!C57</f>
        <v>44897.916666666664</v>
      </c>
      <c r="H57" s="272" t="s">
        <v>74</v>
      </c>
      <c r="I57" s="274" t="str">
        <f ca="1">A56</f>
        <v>Camerún</v>
      </c>
      <c r="J57" s="275" t="str">
        <f ca="1">VLOOKUP(I57,Equipos!$H$2:$I$33,2,0)</f>
        <v>🇨🇲</v>
      </c>
      <c r="K57" s="276">
        <v>0</v>
      </c>
      <c r="L57" s="276">
        <v>4</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1</v>
      </c>
      <c r="Y57" s="319">
        <f ca="1">VLOOKUP($R57,$AI$54:$AR$57,8,FALSE)</f>
        <v>6</v>
      </c>
      <c r="Z57" s="320">
        <f ca="1">VLOOKUP($R57,$AI$54:$AR$57,9,FALSE)</f>
        <v>-5</v>
      </c>
      <c r="AA57" s="395">
        <f ca="1">IF(SUM($AK$54:$AK$57)=12,MIN(ABS(BY56-BY57),ABS(BY57-BY58)),100)</f>
        <v>1087210499.74</v>
      </c>
      <c r="AB57" s="101" t="str">
        <f ca="1">IF(AND(AA57&gt;=0,AA57&lt;90),VLOOKUP(Q57,$BU$54:$BV$57,2,0),"")</f>
        <v/>
      </c>
      <c r="AC57" s="78"/>
      <c r="AD57" s="79"/>
      <c r="AE57" s="365"/>
      <c r="AF57" s="828">
        <f ca="1">VLOOKUP($R57,$AI$54:$AR$57,10,FALSE)</f>
        <v>1087210499.74</v>
      </c>
      <c r="AG57" s="827">
        <f ca="1">RANK(AU57,$AU$54:$AU$57)</f>
        <v>2</v>
      </c>
      <c r="AH57" s="827">
        <f ca="1">RANK(AR57,$AR$54:$AR$57)</f>
        <v>2</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4</v>
      </c>
      <c r="AP57" s="827">
        <f t="array" aca="1" ref="AP57" ca="1">SUMIFS($K$4:$K$65,$N$4:$N$65,AI57,$K$4:$K$65,"&lt;&gt;",$L$4:$L$65,"&lt;&gt;")+SUMIFS($L$4:$L$65,$I$4:$I$65,AI57,$K$4:$K$65,"&lt;&gt;",$L$4:$L$65,"&lt;&gt;")</f>
        <v>7</v>
      </c>
      <c r="AQ57" s="827">
        <f ca="1">AO57-AP57</f>
        <v>-3</v>
      </c>
      <c r="AR57" s="827">
        <f ca="1">IF(AK57=0,-($AW$11*VLOOKUP(AI57,Tabla3[[NombreEquipo]:[Rank]],3,FALSE)),AJ57*$AW$4+AQ57*$AW$5+AO57*$AW$6+BA57-($AW$11*VLOOKUP(AI57,Tabla3[[NombreEquipo]:[Rank]],3,FALSE)/100))</f>
        <v>4433210499.7200003</v>
      </c>
      <c r="AS57" s="827">
        <f ca="1">AH57</f>
        <v>2</v>
      </c>
      <c r="AT57" s="827"/>
      <c r="AU57" s="827">
        <f ca="1">IFERROR(AR57-VLOOKUP(AI57,$AB$54:$AC$57,2,0),AR57)</f>
        <v>4433210499.7200003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0</v>
      </c>
      <c r="BE57" s="835">
        <f t="array" aca="1" ref="BE57" ca="1">SUMIFS($K$52:$K$57,$I$52:$I$57,$AY57,$K$52:$K$57,"&lt;&gt;",$L$52:$L$57,"&lt;&gt;",$N$52:$N$57,BE53)+SUMIFS($L$52:$L$57,$I$52:$I$57,BE53,$K$52:$K$57,"&lt;&gt;",$L$52:$L$57,"&lt;&gt;",$N$52:$N$57,$AY57)</f>
        <v>2</v>
      </c>
      <c r="BF57" s="835">
        <f t="array" aca="1" ref="BF57" ca="1">SUMIFS($K$52:$K$57,$I$52:$I$57,$AY57,$K$52:$K$57,"&lt;&gt;",$L$52:$L$57,"&lt;&gt;",$N$52:$N$57,BF53)+SUMIFS($L$52:$L$57,$I$52:$I$57,BF53,$K$52:$K$57,"&lt;&gt;",$L$52:$L$57,"&lt;&gt;",$N$52:$N$57,$AY57)</f>
        <v>2</v>
      </c>
      <c r="BG57" s="835">
        <v>0</v>
      </c>
      <c r="BH57" s="835">
        <f ca="1">RANK(BI57,BI54:BI57,1)</f>
        <v>1</v>
      </c>
      <c r="BI57" s="835">
        <f ca="1">SUM(IF(AND(AJ57=AJ54,AQ57=AQ54,AO57=AO54),BJ57,0),IF(AND(AJ57=AJ55,AQ57=AQ55,AO57=AO55),BK57,0),IF(AND(AJ57=AJ56,AQ57=AQ56,AO57=AO56),BL57,0))</f>
        <v>0</v>
      </c>
      <c r="BJ57" s="835">
        <f ca="1">BD57-BG54</f>
        <v>-4</v>
      </c>
      <c r="BK57" s="835">
        <f ca="1">BE57-BG55</f>
        <v>1</v>
      </c>
      <c r="BL57" s="835">
        <f ca="1">BF57-BG56</f>
        <v>0</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3</v>
      </c>
      <c r="BR57" s="835">
        <f t="array" aca="1" ref="BR57" ca="1">SUM((I$4:I$57=AY57)*(N$4:N$57=BR53)*(K$4:K$57&lt;&gt;"")*(L$4:L$57&lt;&gt;"")*(K$4:K$57&gt;L$4:L$57)*3,(N$4:N$57=AY57)*(I$4:I$57=BR53)*(K$4:K$57&lt;&gt;"")*(L$4:L$57&lt;&gt;"")*(K$4:K$57=L$4:L$57)*1,(N$4:N$57=AY57)*(I$4:I$57=BR53)*(K$4:K$57&lt;&gt;"")*(L$4:L$57&lt;&gt;"")*(K$4:K$57&lt;L$4:L$57)*3,(I$4:I$57=AY57)*(N$4:N$57=BR53)*(K$4:K$57&lt;&gt;"")*(L$4:L$57&lt;&gt;"")*(K$4:K$57=L$4:L$57)*1)</f>
        <v>1</v>
      </c>
      <c r="BS57" s="835">
        <v>0</v>
      </c>
      <c r="BT57" s="829">
        <v>4</v>
      </c>
      <c r="BU57" s="829">
        <f ca="1">RANK(BW57,$BW$54:$BW$57)</f>
        <v>2</v>
      </c>
      <c r="BV57" s="829" t="str">
        <f ca="1">A56</f>
        <v>Camerún</v>
      </c>
      <c r="BW57" s="829">
        <f t="shared" ca="1" si="8"/>
        <v>4433210499.7200003</v>
      </c>
      <c r="BX57" s="829" t="str">
        <f ca="1">VLOOKUP(Q57,$AH$54:$AI$57,2,0)</f>
        <v>Serbia</v>
      </c>
      <c r="BY57" s="829">
        <f ca="1">VLOOKUP($BX57,$AI$54:$AR$57,10,FALSE)</f>
        <v>1087210499.74</v>
      </c>
      <c r="CA57" s="829">
        <v>4</v>
      </c>
      <c r="CB57" s="829" t="str">
        <f ca="1">VLOOKUP(CA57,$AH$54:$AI$57,2,0)</f>
        <v>Serbia</v>
      </c>
      <c r="CC57" s="829">
        <f ca="1">VLOOKUP(CB57,$AI$54:$AR$57,2,FALSE)</f>
        <v>1</v>
      </c>
      <c r="CD57" s="836">
        <f ca="1">IF(SUM($AK$54:$AK$57)=12,MIN(ABS(BY56-BY57),ABS(BY57-BY58)),100)</f>
        <v>1087210499.74</v>
      </c>
      <c r="CE57" s="829">
        <f ca="1">VLOOKUP($CB57,$AI$54:$AR$57,9,FALSE)</f>
        <v>-5</v>
      </c>
      <c r="CF57" s="829">
        <f ca="1">VLOOKUP($CB57,$AI$54:$AR$57,7,FALSE)</f>
        <v>1</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44889.666666666664</v>
      </c>
      <c r="G60" s="457">
        <f>Horarios!C60</f>
        <v>44889.666666666664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72</v>
      </c>
      <c r="I61" s="444" t="str">
        <f ca="1">A61</f>
        <v>Portugal</v>
      </c>
      <c r="J61" s="445" t="str">
        <f ca="1">VLOOKUP(I61,Equipos!$H$2:$I$33,2,0)</f>
        <v>🇵🇹</v>
      </c>
      <c r="K61" s="455">
        <v>3</v>
      </c>
      <c r="L61" s="455">
        <v>1</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73</v>
      </c>
      <c r="I62" s="444" t="str">
        <f ca="1">A64</f>
        <v>Corea del Sur</v>
      </c>
      <c r="J62" s="445" t="str">
        <f ca="1">VLOOKUP(I62,Equipos!$H$2:$I$33,2,0)</f>
        <v>🇰🇷</v>
      </c>
      <c r="K62" s="455">
        <v>2</v>
      </c>
      <c r="L62" s="455">
        <v>1</v>
      </c>
      <c r="M62" s="446" t="str">
        <f ca="1">VLOOKUP(N62,Equipos!$H$2:$I$33,2,0)</f>
        <v>🇬🇭</v>
      </c>
      <c r="N62" s="463" t="str">
        <f ca="1">A62</f>
        <v>Ghana</v>
      </c>
      <c r="O62" s="385">
        <f t="shared" si="46"/>
        <v>1</v>
      </c>
      <c r="P62" s="88"/>
      <c r="Q62" s="478">
        <v>1</v>
      </c>
      <c r="R62" s="479" t="str">
        <f ca="1">VLOOKUP(Q62,$AG$62:$AI$65,3,0)</f>
        <v>Portugal</v>
      </c>
      <c r="S62" s="480">
        <f ca="1">VLOOKUP(R62,$AI$62:$AR$65,2,FALSE)</f>
        <v>9</v>
      </c>
      <c r="T62" s="480">
        <f ca="1">VLOOKUP($R62,$AI$62:$AR$65,3,FALSE)</f>
        <v>3</v>
      </c>
      <c r="U62" s="480">
        <f ca="1">VLOOKUP($R62,$AI$62:$AR$65,4,FALSE)</f>
        <v>3</v>
      </c>
      <c r="V62" s="480">
        <f ca="1">VLOOKUP($R62,$AI$62:$AR$65,5,FALSE)</f>
        <v>0</v>
      </c>
      <c r="W62" s="480">
        <f ca="1">VLOOKUP($R62,$AI$62:$AR$65,6,FALSE)</f>
        <v>0</v>
      </c>
      <c r="X62" s="480">
        <f ca="1">VLOOKUP($R62,$AI$62:$AR$65,7,FALSE)</f>
        <v>8</v>
      </c>
      <c r="Y62" s="480">
        <f ca="1">VLOOKUP($R62,$AI$62:$AR$65,8,FALSE)</f>
        <v>3</v>
      </c>
      <c r="Z62" s="481">
        <f ca="1">VLOOKUP($R62,$AI$62:$AR$65,9,FALSE)</f>
        <v>5</v>
      </c>
      <c r="AA62" s="395">
        <f ca="1">IF(SUM($AK$62:$AK$65)=12,MIN(ABS(BY61-BY62),ABS(BY62-BY63)),100)</f>
        <v>3333031600.0199995</v>
      </c>
      <c r="AB62" s="101" t="str">
        <f ca="1">IF(AND(AA62&gt;=0,AA62&lt;90),VLOOKUP(Q62,$BU$62:$BV$65,2,0),"")</f>
        <v/>
      </c>
      <c r="AC62" s="78"/>
      <c r="AD62" s="79"/>
      <c r="AE62" s="365"/>
      <c r="AF62" s="828">
        <f ca="1">VLOOKUP($R62,$AI$62:$AR$65,10,FALSE)</f>
        <v>9999264799.7099991</v>
      </c>
      <c r="AG62" s="827">
        <f ca="1">RANK(AU62,$AU$62:$AU$65)</f>
        <v>1</v>
      </c>
      <c r="AH62" s="827">
        <f ca="1">RANK(AR62,$AR$62:$AR$65)</f>
        <v>1</v>
      </c>
      <c r="AI62" s="829" t="str">
        <f ca="1">A61</f>
        <v>Portugal</v>
      </c>
      <c r="AJ62" s="827">
        <f ca="1">AL62*3+AM62*1+AN62*0</f>
        <v>9</v>
      </c>
      <c r="AK62" s="827">
        <f ca="1">COUNTIFS($I$4:$I$65,AI62,$K$4:$K$65,"&lt;&gt;",$L$4:$L$65,"&lt;&gt;")+COUNTIFS($N$4:$N$65,AI62,$L$4:$L$65,"&lt;&gt;",$K$4:$K$65,"&lt;&gt;")</f>
        <v>3</v>
      </c>
      <c r="AL62" s="827">
        <f t="array" aca="1" ref="AL62" ca="1">SUM(($I$4:$I$65=AI62)*($K$4:$K$65&lt;&gt;"")*($L$4:$L$65&lt;&gt;"")*($K$4:$K$65&gt;$L$4:$L$65),($N$4:$N$65=AI62)*($K$4:$K$65&lt;&gt;"")*($L$4:$L$65&lt;&gt;"")*($K$4:$K$65&lt;$L$4:$L$65))</f>
        <v>3</v>
      </c>
      <c r="AM62" s="827">
        <f t="array" aca="1" ref="AM62" ca="1">SUM(($I$4:$I$65=AI62)*($K$4:$K$65&lt;&gt;"")*($L$4:$L$65&lt;&gt;"")*($K$4:$K$65=$L$4:$L$65),($N$4:$N$65=AI62)*($K$4:$K$65&lt;&gt;"")*($L$4:$L$65&lt;&gt;"")*($K$4:$K$65=$L$4:$L$65))</f>
        <v>0</v>
      </c>
      <c r="AN62" s="827">
        <f t="array" aca="1" ref="AN62" ca="1">SUM(($I$4:$I$65=AI62)*($L$4:$L$65&lt;&gt;"")*($K$4:$K$65&lt;&gt;"")*($K$4:$K$65&lt;$L$4:$L$65),($K$4:$K$65&lt;&gt;"")*($N$4:$N$65=AI62)*($L$4:$L$65&lt;&gt;"")*($K$4:$K$65&gt;$L$4:$L$65))</f>
        <v>0</v>
      </c>
      <c r="AO62" s="827">
        <f t="array" aca="1" ref="AO62" ca="1">SUMIFS($K$4:$K$65,$I$4:$I$65,AI62,$K$4:$K$65,"&lt;&gt;",$L$4:$L$65,"&lt;&gt;")+SUMIFS($L$4:$L$65,$N$4:$N$65,AI62,$K$4:$K$65,"&lt;&gt;",$L$4:$L$65,"&lt;&gt;")</f>
        <v>8</v>
      </c>
      <c r="AP62" s="827">
        <f t="array" aca="1" ref="AP62" ca="1">SUMIFS($K$4:$K$65,$N$4:$N$65,AI62,$K$4:$K$65,"&lt;&gt;",$L$4:$L$65,"&lt;&gt;")+SUMIFS($L$4:$L$65,$I$4:$I$65,AI62,$K$4:$K$65,"&lt;&gt;",$L$4:$L$65,"&lt;&gt;")</f>
        <v>3</v>
      </c>
      <c r="AQ62" s="827">
        <f ca="1">AO62-AP62</f>
        <v>5</v>
      </c>
      <c r="AR62" s="827">
        <f ca="1">IF(AK62=0,-($AW$11*VLOOKUP(AI62,Tabla3[[NombreEquipo]:[Rank]],3,FALSE)),AJ62*$AW$4+BA62+AQ62*$AW$8+AO62*$AW$9+AL62*$AW$10-($AW$11*VLOOKUP(AI62,Tabla3[[NombreEquipo]:[Rank]],3,FALSE)/100))</f>
        <v>9999264799.7099991</v>
      </c>
      <c r="AS62" s="827">
        <f ca="1">AH62</f>
        <v>1</v>
      </c>
      <c r="AT62" s="827"/>
      <c r="AU62" s="827">
        <f ca="1">IFERROR(AR62-VLOOKUP(AI62,$AB$62:$AC$65,2,0),AR62)</f>
        <v>9999264799.7099991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2</v>
      </c>
      <c r="BL62" s="835">
        <f ca="1">BF62-BD64</f>
        <v>1</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9999264799.7099991</v>
      </c>
      <c r="BX62" s="829" t="str">
        <f ca="1">VLOOKUP(Q62,$AH$62:$AI$65,2,0)</f>
        <v>Portugal</v>
      </c>
      <c r="BY62" s="829">
        <f ca="1">VLOOKUP($BX62,$AI$62:$AR$65,10,FALSE)</f>
        <v>9999264799.7099991</v>
      </c>
      <c r="CA62" s="829">
        <v>1</v>
      </c>
      <c r="CB62" s="829" t="str">
        <f ca="1">VLOOKUP(CA62,$AH$62:$AI$65,2,0)</f>
        <v>Portugal</v>
      </c>
      <c r="CC62" s="829">
        <f ca="1">VLOOKUP(CB62,$AI$62:$AR$65,2,FALSE)</f>
        <v>9</v>
      </c>
      <c r="CD62" s="836">
        <f ca="1">IF(SUM($AK$62:$AK$65)=12,MIN(ABS(BY61-BY62),ABS(BY62-BY63)),100)</f>
        <v>3333031600.0199995</v>
      </c>
      <c r="CE62" s="829">
        <f ca="1">VLOOKUP($CB62,$AI$62:$AR$65,9,FALSE)</f>
        <v>5</v>
      </c>
      <c r="CF62" s="829">
        <f ca="1">VLOOKUP($CB62,$AI$62:$AR$65,7,FALSE)</f>
        <v>8</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73</v>
      </c>
      <c r="I63" s="444" t="str">
        <f ca="1">A61</f>
        <v>Portugal</v>
      </c>
      <c r="J63" s="445" t="str">
        <f ca="1">VLOOKUP(I63,Equipos!$H$2:$I$33,2,0)</f>
        <v>🇵🇹</v>
      </c>
      <c r="K63" s="455">
        <v>2</v>
      </c>
      <c r="L63" s="455">
        <v>1</v>
      </c>
      <c r="M63" s="446" t="str">
        <f ca="1">VLOOKUP(N63,Equipos!$H$2:$I$33,2,0)</f>
        <v>🇺🇾</v>
      </c>
      <c r="N63" s="463" t="str">
        <f ca="1">A63</f>
        <v>Uruguay</v>
      </c>
      <c r="O63" s="385">
        <f t="shared" si="46"/>
        <v>1</v>
      </c>
      <c r="P63" s="88"/>
      <c r="Q63" s="482">
        <v>2</v>
      </c>
      <c r="R63" s="4" t="str">
        <f ca="1">VLOOKUP(Q63,$AG$62:$AI$65,3,0)</f>
        <v>Uruguay</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5</v>
      </c>
      <c r="Y63" s="3">
        <f ca="1">VLOOKUP($R63,$AI$62:$AR$65,8,FALSE)</f>
        <v>3</v>
      </c>
      <c r="Z63" s="483">
        <f ca="1">VLOOKUP($R63,$AI$62:$AR$65,9,FALSE)</f>
        <v>2</v>
      </c>
      <c r="AA63" s="395">
        <f ca="1">IF(SUM($AK$62:$AK$65)=12,MIN(ABS(BY62-BY63),ABS(BY63-BY64)),100)</f>
        <v>3333031600.0199995</v>
      </c>
      <c r="AB63" s="101" t="str">
        <f ca="1">IF(AND(AA63&gt;=0,AA63&lt;90),VLOOKUP(Q63,$BU$62:$BV$65,2,0),"")</f>
        <v/>
      </c>
      <c r="AC63" s="78"/>
      <c r="AD63" s="79"/>
      <c r="AE63" s="365"/>
      <c r="AF63" s="828">
        <f ca="1">VLOOKUP($R63,$AI$62:$AR$65,10,FALSE)</f>
        <v>6666233199.6899996</v>
      </c>
      <c r="AG63" s="827">
        <f ca="1">RANK(AU63,$AU$62:$AU$65)</f>
        <v>4</v>
      </c>
      <c r="AH63" s="827">
        <f ca="1">RANK(AR63,$AR$62:$AR$65)</f>
        <v>4</v>
      </c>
      <c r="AI63" s="829" t="str">
        <f ca="1">A62</f>
        <v>Ghana</v>
      </c>
      <c r="AJ63" s="827">
        <f ca="1">AL63*3+AM63*1+AN63*0</f>
        <v>0</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0</v>
      </c>
      <c r="AN63" s="827">
        <f t="array" aca="1" ref="AN63" ca="1">SUM(($I$4:$I$65=AI63)*($L$4:$L$65&lt;&gt;"")*($K$4:$K$65&lt;&gt;"")*($K$4:$K$65&lt;$L$4:$L$65),($K$4:$K$65&lt;&gt;"")*($N$4:$N$65=AI63)*($L$4:$L$65&lt;&gt;"")*($K$4:$K$65&gt;$L$4:$L$65))</f>
        <v>3</v>
      </c>
      <c r="AO63" s="827">
        <f t="array" aca="1" ref="AO63" ca="1">SUMIFS($K$4:$K$65,$I$4:$I$65,AI63,$K$4:$K$65,"&lt;&gt;",$L$4:$L$65,"&lt;&gt;")+SUMIFS($L$4:$L$65,$N$4:$N$65,AI63,$K$4:$K$65,"&lt;&gt;",$L$4:$L$65,"&lt;&gt;")</f>
        <v>2</v>
      </c>
      <c r="AP63" s="827">
        <f t="array" aca="1" ref="AP63" ca="1">SUMIFS($K$4:$K$65,$N$4:$N$65,AI63,$K$4:$K$65,"&lt;&gt;",$L$4:$L$65,"&lt;&gt;")+SUMIFS($L$4:$L$65,$I$4:$I$65,AI63,$K$4:$K$65,"&lt;&gt;",$L$4:$L$65,"&lt;&gt;")</f>
        <v>7</v>
      </c>
      <c r="AQ63" s="827">
        <f ca="1">AO63-AP63</f>
        <v>-5</v>
      </c>
      <c r="AR63" s="827">
        <f ca="1">IF(AK63=0,-($AW$11*VLOOKUP(AI63,Tabla3[[NombreEquipo]:[Rank]],3,FALSE)),AJ63*$AW$4+BA63+AQ63*$AW$8+AO63*$AW$9+AL63*$AW$10-($AW$11*VLOOKUP(AI63,Tabla3[[NombreEquipo]:[Rank]],3,FALSE)/100))</f>
        <v>161499.70000000001</v>
      </c>
      <c r="AS63" s="827">
        <f ca="1">AH63</f>
        <v>4</v>
      </c>
      <c r="AT63" s="827"/>
      <c r="AU63" s="827">
        <f ca="1">IFERROR(AR63-VLOOKUP(AI63,$AB$62:$AC$65,2,0),AR63)</f>
        <v>161499.70000000001</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0</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-2</v>
      </c>
      <c r="BK63" s="835">
        <v>0</v>
      </c>
      <c r="BL63" s="835">
        <f ca="1">BF63-BE64</f>
        <v>-2</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0</v>
      </c>
      <c r="BT63" s="829">
        <v>2</v>
      </c>
      <c r="BU63" s="829">
        <f ca="1">RANK(BW63,$BW$62:$BW$65)</f>
        <v>4</v>
      </c>
      <c r="BV63" s="829" t="str">
        <f ca="1">A62</f>
        <v>Ghana</v>
      </c>
      <c r="BW63" s="829">
        <f t="shared" ca="1" si="8"/>
        <v>161499.70000000001</v>
      </c>
      <c r="BX63" s="829" t="str">
        <f ca="1">VLOOKUP(Q63,$AH$62:$AI$65,2,0)</f>
        <v>Uruguay</v>
      </c>
      <c r="BY63" s="829">
        <f ca="1">VLOOKUP($BX63,$AI$62:$AR$65,10,FALSE)</f>
        <v>6666233199.6899996</v>
      </c>
      <c r="CA63" s="829">
        <v>2</v>
      </c>
      <c r="CB63" s="829" t="str">
        <f ca="1">VLOOKUP(CA63,$AH$62:$AI$65,2,0)</f>
        <v>Uruguay</v>
      </c>
      <c r="CC63" s="829">
        <f ca="1">VLOOKUP(CB63,$AI$62:$AR$65,2,FALSE)</f>
        <v>6</v>
      </c>
      <c r="CD63" s="836">
        <f ca="1">IF(SUM($AK$62:$AK$65)=12,MIN(ABS(BY62-BY63),ABS(BY63-BY64)),100)</f>
        <v>3333031600.0199995</v>
      </c>
      <c r="CE63" s="829">
        <f ca="1">VLOOKUP($CB63,$AI$62:$AR$65,9,FALSE)</f>
        <v>2</v>
      </c>
      <c r="CF63" s="829">
        <f ca="1">VLOOKUP($CB63,$AI$62:$AR$65,7,FALSE)</f>
        <v>5</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74</v>
      </c>
      <c r="I64" s="444" t="str">
        <f ca="1">A62</f>
        <v>Ghana</v>
      </c>
      <c r="J64" s="445" t="str">
        <f ca="1">VLOOKUP(I64,Equipos!$H$2:$I$33,2,0)</f>
        <v>🇬🇭</v>
      </c>
      <c r="K64" s="455">
        <v>0</v>
      </c>
      <c r="L64" s="455">
        <v>2</v>
      </c>
      <c r="M64" s="446" t="str">
        <f ca="1">VLOOKUP(N64,Equipos!$H$2:$I$33,2,0)</f>
        <v>🇺🇾</v>
      </c>
      <c r="N64" s="463" t="str">
        <f ca="1">A63</f>
        <v>Uruguay</v>
      </c>
      <c r="O64" s="385">
        <f t="shared" si="46"/>
        <v>1</v>
      </c>
      <c r="P64" s="88"/>
      <c r="Q64" s="482">
        <v>3</v>
      </c>
      <c r="R64" s="4" t="str">
        <f ca="1">VLOOKUP(Q64,$AG$62:$AI$65,3,0)</f>
        <v>Corea del Sur</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4</v>
      </c>
      <c r="Y64" s="3">
        <f ca="1">VLOOKUP($R64,$AI$62:$AR$65,8,FALSE)</f>
        <v>6</v>
      </c>
      <c r="Z64" s="483">
        <f ca="1">VLOOKUP($R64,$AI$62:$AR$65,9,FALSE)</f>
        <v>-2</v>
      </c>
      <c r="AA64" s="395">
        <f ca="1">IF(SUM($AK$62:$AK$65)=12,MIN(ABS(BY63-BY64),ABS(BY64-BY65)),100)</f>
        <v>3333031099.98</v>
      </c>
      <c r="AB64" s="101" t="str">
        <f ca="1">IF(AND(AA64&gt;=0,AA64&lt;90),VLOOKUP(Q64,$BU$62:$BV$65,2,0),"")</f>
        <v/>
      </c>
      <c r="AC64" s="78"/>
      <c r="AD64" s="79"/>
      <c r="AE64" s="365"/>
      <c r="AF64" s="828">
        <f ca="1">VLOOKUP($R64,$AI$62:$AR$65,10,FALSE)</f>
        <v>3333192599.6799998</v>
      </c>
      <c r="AG64" s="827">
        <f ca="1">RANK(AU64,$AU$62:$AU$65)</f>
        <v>2</v>
      </c>
      <c r="AH64" s="827">
        <f ca="1">RANK(AR64,$AR$62:$AR$65)</f>
        <v>2</v>
      </c>
      <c r="AI64" s="829" t="str">
        <f ca="1">A63</f>
        <v>Uruguay</v>
      </c>
      <c r="AJ64" s="827">
        <f ca="1">AL64*3+AM64*1+AN64*0</f>
        <v>6</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0</v>
      </c>
      <c r="AN64" s="827">
        <f t="array" aca="1" ref="AN64" ca="1">SUM(($I$4:$I$65=AI64)*($L$4:$L$65&lt;&gt;"")*($K$4:$K$65&lt;&gt;"")*($K$4:$K$65&lt;$L$4:$L$65),($K$4:$K$65&lt;&gt;"")*($N$4:$N$65=AI64)*($L$4:$L$65&lt;&gt;"")*($K$4:$K$65&gt;$L$4:$L$65))</f>
        <v>1</v>
      </c>
      <c r="AO64" s="827">
        <f t="array" aca="1" ref="AO64" ca="1">SUMIFS($K$4:$K$65,$I$4:$I$65,AI64,$K$4:$K$65,"&lt;&gt;",$L$4:$L$65,"&lt;&gt;")+SUMIFS($L$4:$L$65,$N$4:$N$65,AI64,$K$4:$K$65,"&lt;&gt;",$L$4:$L$65,"&lt;&gt;")</f>
        <v>5</v>
      </c>
      <c r="AP64" s="827">
        <f t="array" aca="1" ref="AP64" ca="1">SUMIFS($K$4:$K$65,$N$4:$N$65,AI64,$K$4:$K$65,"&lt;&gt;",$L$4:$L$65,"&lt;&gt;")+SUMIFS($L$4:$L$65,$I$4:$I$65,AI64,$K$4:$K$65,"&lt;&gt;",$L$4:$L$65,"&lt;&gt;")</f>
        <v>3</v>
      </c>
      <c r="AQ64" s="827">
        <f ca="1">AO64-AP64</f>
        <v>2</v>
      </c>
      <c r="AR64" s="827">
        <f ca="1">IF(AK64=0,-($AW$11*VLOOKUP(AI64,Tabla3[[NombreEquipo]:[Rank]],3,FALSE)),AJ64*$AW$4+BA64+AQ64*$AW$8+AO64*$AW$9+AL64*$AW$10-($AW$11*VLOOKUP(AI64,Tabla3[[NombreEquipo]:[Rank]],3,FALSE)/100))</f>
        <v>6666233199.6899996</v>
      </c>
      <c r="AS64" s="827">
        <f ca="1">AH64</f>
        <v>2</v>
      </c>
      <c r="AT64" s="827"/>
      <c r="AU64" s="827">
        <f ca="1">IFERROR(AR64-VLOOKUP(AI64,$AB$62:$AC$65,2,0),AR64)</f>
        <v>6666233199.6899996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-1</v>
      </c>
      <c r="BK64" s="835">
        <f ca="1">BE64-BF63</f>
        <v>2</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6666233199.6899996</v>
      </c>
      <c r="BX64" s="829" t="str">
        <f ca="1">VLOOKUP(Q64,$AH$62:$AI$65,2,0)</f>
        <v>Corea del Sur</v>
      </c>
      <c r="BY64" s="829">
        <f ca="1">VLOOKUP($BX64,$AI$62:$AR$65,10,FALSE)</f>
        <v>3333192599.6799998</v>
      </c>
      <c r="CA64" s="829">
        <v>3</v>
      </c>
      <c r="CB64" s="829" t="str">
        <f ca="1">VLOOKUP(CA64,$AH$62:$AI$65,2,0)</f>
        <v>Corea del Sur</v>
      </c>
      <c r="CC64" s="829">
        <f ca="1">VLOOKUP(CB64,$AI$62:$AR$65,2,FALSE)</f>
        <v>3</v>
      </c>
      <c r="CD64" s="836">
        <f ca="1">IF(SUM($AK$62:$AK$65)=12,MIN(ABS(BY63-BY64),ABS(BY64-BY65)),100)</f>
        <v>3333031099.98</v>
      </c>
      <c r="CE64" s="829">
        <f ca="1">VLOOKUP($CB64,$AI$62:$AR$65,9,FALSE)</f>
        <v>-2</v>
      </c>
      <c r="CF64" s="829">
        <f ca="1">VLOOKUP($CB64,$AI$62:$AR$65,7,FALSE)</f>
        <v>4</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74</v>
      </c>
      <c r="I65" s="466" t="str">
        <f ca="1">A64</f>
        <v>Corea del Sur</v>
      </c>
      <c r="J65" s="467" t="str">
        <f ca="1">VLOOKUP(I65,Equipos!$H$2:$I$33,2,0)</f>
        <v>🇰🇷</v>
      </c>
      <c r="K65" s="468">
        <v>1</v>
      </c>
      <c r="L65" s="468">
        <v>3</v>
      </c>
      <c r="M65" s="469" t="str">
        <f ca="1">VLOOKUP(N65,Equipos!$H$2:$I$33,2,0)</f>
        <v>🇵🇹</v>
      </c>
      <c r="N65" s="470" t="str">
        <f ca="1">A61</f>
        <v>Portugal</v>
      </c>
      <c r="O65" s="385">
        <f t="shared" si="46"/>
        <v>1</v>
      </c>
      <c r="P65" s="88"/>
      <c r="Q65" s="484">
        <v>4</v>
      </c>
      <c r="R65" s="485" t="str">
        <f ca="1">VLOOKUP(Q65,$AG$62:$AI$65,3,0)</f>
        <v>Ghana</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2</v>
      </c>
      <c r="Y65" s="486">
        <f ca="1">VLOOKUP($R65,$AI$62:$AR$65,8,FALSE)</f>
        <v>7</v>
      </c>
      <c r="Z65" s="487">
        <f ca="1">VLOOKUP($R65,$AI$62:$AR$65,9,FALSE)</f>
        <v>-5</v>
      </c>
      <c r="AA65" s="395">
        <f ca="1">IF(SUM($AK$62:$AK$65)=12,MIN(ABS(BY64-BY65),ABS(BY65-BY66)),100)</f>
        <v>161499.70000000001</v>
      </c>
      <c r="AB65" s="101" t="str">
        <f ca="1">IF(AND(AA65&gt;=0,AA65&lt;90),VLOOKUP(Q65,$BU$62:$BV$65,2,0),"")</f>
        <v/>
      </c>
      <c r="AC65" s="78"/>
      <c r="AD65" s="79"/>
      <c r="AE65" s="365"/>
      <c r="AF65" s="828">
        <f ca="1">VLOOKUP($R65,$AI$62:$AR$65,10,FALSE)</f>
        <v>161499.70000000001</v>
      </c>
      <c r="AG65" s="827">
        <f ca="1">RANK(AU65,$AU$62:$AU$65)</f>
        <v>3</v>
      </c>
      <c r="AH65" s="827">
        <f ca="1">RANK(AR65,$AR$62:$AR$65)</f>
        <v>3</v>
      </c>
      <c r="AI65" s="829" t="str">
        <f ca="1">A64</f>
        <v>Corea del Sur</v>
      </c>
      <c r="AJ65" s="827">
        <f ca="1">AL65*3+AM65*1+AN65*0</f>
        <v>3</v>
      </c>
      <c r="AK65" s="827">
        <f ca="1">COUNTIFS($I$4:$I$65,AI65,$K$4:$K$65,"&lt;&gt;",$L$4:$L$65,"&lt;&gt;")+COUNTIFS($N$4:$N$65,AI65,$L$4:$L$65,"&lt;&gt;",$K$4:$K$65,"&lt;&gt;")</f>
        <v>3</v>
      </c>
      <c r="AL65" s="827">
        <f t="array" aca="1" ref="AL65" ca="1">SUM(($I$4:$I$65=AI65)*($K$4:$K$65&lt;&gt;"")*($L$4:$L$65&lt;&gt;"")*($K$4:$K$65&gt;$L$4:$L$65),($N$4:$N$65=AI65)*($K$4:$K$65&lt;&gt;"")*($L$4:$L$65&lt;&gt;"")*($K$4:$K$65&lt;$L$4:$L$65))</f>
        <v>1</v>
      </c>
      <c r="AM65" s="827">
        <f t="array" aca="1" ref="AM65" ca="1">SUM(($I$4:$I$65=AI65)*($K$4:$K$65&lt;&gt;"")*($L$4:$L$65&lt;&gt;"")*($K$4:$K$65=$L$4:$L$65),($N$4:$N$65=AI65)*($K$4:$K$65&lt;&gt;"")*($L$4:$L$65&lt;&gt;"")*($K$4:$K$65=$L$4:$L$65))</f>
        <v>0</v>
      </c>
      <c r="AN65" s="827">
        <f t="array" aca="1" ref="AN65" ca="1">SUM(($I$4:$I$65=AI65)*($L$4:$L$65&lt;&gt;"")*($K$4:$K$65&lt;&gt;"")*($K$4:$K$65&lt;$L$4:$L$65),($K$4:$K$65&lt;&gt;"")*($N$4:$N$65=AI65)*($L$4:$L$65&lt;&gt;"")*($K$4:$K$65&gt;$L$4:$L$65))</f>
        <v>2</v>
      </c>
      <c r="AO65" s="827">
        <f t="array" aca="1" ref="AO65" ca="1">SUMIFS($K$4:$K$65,$I$4:$I$65,AI65,$K$4:$K$65,"&lt;&gt;",$L$4:$L$65,"&lt;&gt;")+SUMIFS($L$4:$L$65,$N$4:$N$65,AI65,$K$4:$K$65,"&lt;&gt;",$L$4:$L$65,"&lt;&gt;")</f>
        <v>4</v>
      </c>
      <c r="AP65" s="827">
        <f t="array" aca="1" ref="AP65" ca="1">SUMIFS($K$4:$K$65,$N$4:$N$65,AI65,$K$4:$K$65,"&lt;&gt;",$L$4:$L$65,"&lt;&gt;")+SUMIFS($L$4:$L$65,$I$4:$I$65,AI65,$K$4:$K$65,"&lt;&gt;",$L$4:$L$65,"&lt;&gt;")</f>
        <v>6</v>
      </c>
      <c r="AQ65" s="827">
        <f ca="1">AO65-AP65</f>
        <v>-2</v>
      </c>
      <c r="AR65" s="827">
        <f ca="1">IF(AK65=0,-($AW$11*VLOOKUP(AI65,Tabla3[[NombreEquipo]:[Rank]],3,FALSE)),AJ65*$AW$4+BA65+AQ65*$AW$8+AO65*$AW$9+AL65*$AW$10-($AW$11*VLOOKUP(AI65,Tabla3[[NombreEquipo]:[Rank]],3,FALSE)/100))</f>
        <v>3333192599.6799998</v>
      </c>
      <c r="AS65" s="827">
        <f ca="1">AH65</f>
        <v>3</v>
      </c>
      <c r="AT65" s="827"/>
      <c r="AU65" s="827">
        <f ca="1">IFERROR(AR65-VLOOKUP(AI65,$AB$62:$AC$65,2,0),AR65)</f>
        <v>3333192599.6799998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-2</v>
      </c>
      <c r="BK65" s="835">
        <f ca="1">BE65-BG63</f>
        <v>1</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3</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3</v>
      </c>
      <c r="BV65" s="829" t="str">
        <f ca="1">A64</f>
        <v>Corea del Sur</v>
      </c>
      <c r="BW65" s="829">
        <f t="shared" ca="1" si="8"/>
        <v>3333192599.6799998</v>
      </c>
      <c r="BX65" s="829" t="str">
        <f ca="1">VLOOKUP(Q65,$AH$62:$AI$65,2,0)</f>
        <v>Ghana</v>
      </c>
      <c r="BY65" s="829">
        <f ca="1">VLOOKUP($BX65,$AI$62:$AR$65,10,FALSE)</f>
        <v>161499.70000000001</v>
      </c>
      <c r="CA65" s="829">
        <v>4</v>
      </c>
      <c r="CB65" s="829" t="str">
        <f ca="1">VLOOKUP(CA65,$AH$62:$AI$65,2,0)</f>
        <v>Ghana</v>
      </c>
      <c r="CC65" s="829">
        <f ca="1">VLOOKUP(CB65,$AI$62:$AR$65,2,FALSE)</f>
        <v>0</v>
      </c>
      <c r="CD65" s="836">
        <f ca="1">IF(SUM($AK$62:$AK$65)=12,MIN(ABS(BY64-BY65),ABS(BY65-BY66)),100)</f>
        <v>161499.70000000001</v>
      </c>
      <c r="CE65" s="829">
        <f ca="1">VLOOKUP($CB65,$AI$62:$AR$65,9,FALSE)</f>
        <v>-5</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44898.75</v>
      </c>
      <c r="G69" s="191">
        <f>Horarios!C68</f>
        <v>44898.75</v>
      </c>
      <c r="H69" s="192"/>
      <c r="I69" s="193" t="str">
        <f ca="1">IF(SUM(AK6:AK9)=12,VLOOKUP(1,AG6:AI9,3,FALSE),"1A")</f>
        <v>Catar</v>
      </c>
      <c r="J69" s="194"/>
      <c r="K69" s="195"/>
      <c r="L69" s="195"/>
      <c r="M69" s="196"/>
      <c r="N69" s="197" t="str">
        <f t="array" aca="1" ref="N69" ca="1">IF(SUM(AK14:AK17)=12,VLOOKUP(2,AG14:AI17,3,FALSE),"2B")</f>
        <v>Estados unidos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Australia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Francia</v>
      </c>
      <c r="J71" s="181"/>
      <c r="K71" s="219"/>
      <c r="L71" s="219"/>
      <c r="M71" s="181"/>
      <c r="N71" s="198" t="str">
        <f ca="1">IF(SUM(AK22:AK25)=12,VLOOKUP(2,AG22:AI25,3,FALSE),"2C")</f>
        <v>México</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Paises Bajos</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Alemania</v>
      </c>
      <c r="J73" s="221"/>
      <c r="K73" s="219"/>
      <c r="L73" s="219"/>
      <c r="M73" s="220"/>
      <c r="N73" s="198" t="str">
        <f ca="1">IF(SUM(AK46:AK49)=12,VLOOKUP(2,AG46:AI49,3,FALSE),"2F")</f>
        <v>Marruecos</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Bélgica</v>
      </c>
      <c r="J75" s="181"/>
      <c r="K75" s="182"/>
      <c r="L75" s="182"/>
      <c r="M75" s="181"/>
      <c r="N75" s="198" t="str">
        <f ca="1">IF(SUM(AK38:AK41)=12,VLOOKUP(2,AG38:AI41,3,FALSE),"2E")</f>
        <v>Costa Rica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Camerún</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5.75">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4" t="s">
        <v>183</v>
      </c>
      <c r="F1" s="964"/>
      <c r="G1" s="964"/>
      <c r="H1" s="964"/>
      <c r="I1" s="964"/>
      <c r="J1" s="964"/>
      <c r="K1" s="964"/>
      <c r="L1" s="964"/>
      <c r="M1" s="964"/>
      <c r="N1" s="964"/>
    </row>
    <row r="2" spans="1:14" ht="19.5" thickBot="1">
      <c r="B2" s="12" t="s">
        <v>117</v>
      </c>
      <c r="C2" s="8"/>
      <c r="D2" s="8"/>
      <c r="E2" s="964"/>
      <c r="F2" s="964"/>
      <c r="G2" s="964"/>
      <c r="H2" s="964"/>
      <c r="I2" s="964"/>
      <c r="J2" s="964"/>
      <c r="K2" s="964"/>
      <c r="L2" s="964"/>
      <c r="M2" s="964"/>
      <c r="N2" s="964"/>
    </row>
    <row r="3" spans="1:14" ht="26.1"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8.95"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2|1-2</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1|2-1</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1|3-0</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1|2-1</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1|4-0</v>
      </c>
      <c r="D10" s="971"/>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1|2-1</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X|1-1</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1|4-0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1|3-1</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2|1-2</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X|0-0</v>
      </c>
      <c r="D16" s="971"/>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X|2-2</v>
      </c>
      <c r="D18" s="971"/>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1|4-0</v>
      </c>
      <c r="D19" s="971"/>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1|2-1</v>
      </c>
      <c r="D20" s="971"/>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1|3-1</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1|2-1</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1|3-1</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1|1-0</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1|2-0</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1|1-0</v>
      </c>
      <c r="D26" s="972"/>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1|3-1</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2|0-1</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1|3-1</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2|1-3</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2|1-4</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X|2-2</v>
      </c>
      <c r="D32" s="972"/>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X|1-1</v>
      </c>
      <c r="D33" s="972"/>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1|2-1</v>
      </c>
      <c r="D34" s="972"/>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1|3-1</v>
      </c>
      <c r="D35" s="972"/>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1|2-1</v>
      </c>
      <c r="D36" s="972"/>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1|2-1</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1|2-0</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2|0-3</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2|0-4</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2|1-3</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2|0-4</v>
      </c>
      <c r="D42" s="946"/>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X|0-0</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X|0-0</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2|1-4</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2|0-1</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2|2-3</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X|0-0</v>
      </c>
      <c r="D48" s="946"/>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X|1-1</v>
      </c>
      <c r="D49" s="946"/>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X|0-0</v>
      </c>
      <c r="D50" s="946"/>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2|0-4</v>
      </c>
      <c r="D51" s="946"/>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2|0-2</v>
      </c>
      <c r="D52" s="946"/>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2|1-3</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8.95"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Catar</v>
      </c>
      <c r="D56" s="946"/>
      <c r="E56" s="1"/>
      <c r="F56" s="1"/>
      <c r="G56" s="1"/>
      <c r="H56" s="1"/>
      <c r="I56" s="352"/>
      <c r="J56" s="1"/>
      <c r="K56" s="1"/>
      <c r="L56" s="1"/>
      <c r="M56" s="357"/>
      <c r="N56" s="358"/>
    </row>
    <row r="57" spans="1:14" ht="15" customHeight="1">
      <c r="A57" s="951"/>
      <c r="B57" s="8" t="s">
        <v>94</v>
      </c>
      <c r="C57" s="15" t="str">
        <f ca="1">IF(SUM(MUNDIAL!$T$6:$T$9)=12,MUNDIAL!R7,B57)</f>
        <v>Paises Bajos</v>
      </c>
      <c r="D57" s="946"/>
      <c r="E57" s="1"/>
      <c r="F57" s="1"/>
      <c r="G57" s="1"/>
      <c r="H57" s="1"/>
      <c r="I57" s="352"/>
      <c r="J57" s="1"/>
      <c r="K57" s="1"/>
      <c r="L57" s="1"/>
      <c r="M57" s="357"/>
      <c r="N57" s="358"/>
    </row>
    <row r="58" spans="1:14" ht="15" customHeight="1">
      <c r="A58" s="951"/>
      <c r="B58" s="8" t="s">
        <v>95</v>
      </c>
      <c r="C58" s="15" t="str">
        <f ca="1">IF(SUM(MUNDIAL!$T$6:$T$9)=12,MUNDIAL!R8,B58)</f>
        <v>Ecuador</v>
      </c>
      <c r="D58" s="946"/>
      <c r="E58" s="1"/>
      <c r="F58" s="1"/>
      <c r="G58" s="1"/>
      <c r="H58" s="1"/>
      <c r="I58" s="352"/>
      <c r="J58" s="1"/>
      <c r="K58" s="1"/>
      <c r="L58" s="1"/>
      <c r="M58" s="357"/>
      <c r="N58" s="358"/>
    </row>
    <row r="59" spans="1:14" ht="15" customHeight="1">
      <c r="A59" s="951"/>
      <c r="B59" s="8" t="s">
        <v>96</v>
      </c>
      <c r="C59" s="15" t="str">
        <f ca="1">IF(SUM(MUNDIAL!$T$6:$T$9)=12,MUNDIAL!R9,B59)</f>
        <v>Senegal</v>
      </c>
      <c r="D59" s="946"/>
      <c r="E59" s="1"/>
      <c r="F59" s="1"/>
      <c r="G59" s="1"/>
      <c r="H59" s="1"/>
      <c r="I59" s="352"/>
      <c r="J59" s="1"/>
      <c r="K59" s="1"/>
      <c r="L59" s="1"/>
      <c r="M59" s="357"/>
      <c r="N59" s="358"/>
    </row>
    <row r="60" spans="1:14" ht="15" customHeight="1">
      <c r="A60" s="952" t="s">
        <v>1</v>
      </c>
      <c r="B60" s="8" t="s">
        <v>97</v>
      </c>
      <c r="C60" s="15" t="str">
        <f ca="1">IF(SUM(MUNDIAL!$T$14:$T$17)=12,MUNDIAL!R14,B60)</f>
        <v>Inglaterra</v>
      </c>
      <c r="D60" s="946"/>
      <c r="E60" s="1"/>
      <c r="F60" s="1"/>
      <c r="G60" s="1"/>
      <c r="H60" s="1"/>
      <c r="I60" s="352"/>
      <c r="J60" s="1"/>
      <c r="K60" s="1"/>
      <c r="L60" s="1"/>
      <c r="M60" s="357"/>
      <c r="N60" s="358"/>
    </row>
    <row r="61" spans="1:14" ht="15" customHeight="1">
      <c r="A61" s="952"/>
      <c r="B61" s="8" t="s">
        <v>98</v>
      </c>
      <c r="C61" s="15" t="str">
        <f ca="1">IF(SUM(MUNDIAL!$T$14:$T$17)=12,MUNDIAL!R15,B61)</f>
        <v>Estados unidos</v>
      </c>
      <c r="D61" s="946"/>
      <c r="E61" s="1"/>
      <c r="F61" s="1"/>
      <c r="G61" s="1"/>
      <c r="H61" s="1"/>
      <c r="I61" s="352"/>
      <c r="J61" s="1"/>
      <c r="K61" s="1"/>
      <c r="L61" s="1"/>
      <c r="M61" s="357"/>
      <c r="N61" s="358"/>
    </row>
    <row r="62" spans="1:14" ht="15" customHeight="1">
      <c r="A62" s="952"/>
      <c r="B62" s="8" t="s">
        <v>99</v>
      </c>
      <c r="C62" s="15" t="str">
        <f ca="1">IF(SUM(MUNDIAL!$T$14:$T$17)=12,MUNDIAL!R16,B62)</f>
        <v>Gales</v>
      </c>
      <c r="D62" s="946"/>
      <c r="E62" s="1"/>
      <c r="F62" s="1"/>
      <c r="G62" s="1"/>
      <c r="H62" s="1"/>
      <c r="I62" s="352"/>
      <c r="J62" s="1"/>
      <c r="K62" s="1"/>
      <c r="L62" s="1"/>
      <c r="M62" s="357"/>
      <c r="N62" s="358"/>
    </row>
    <row r="63" spans="1:14" ht="15" customHeight="1">
      <c r="A63" s="952"/>
      <c r="B63" s="8" t="s">
        <v>100</v>
      </c>
      <c r="C63" s="15" t="str">
        <f ca="1">IF(SUM(MUNDIAL!$T$14:$T$17)=12,MUNDIAL!R17,B63)</f>
        <v>Irán</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México</v>
      </c>
      <c r="D65" s="946"/>
      <c r="E65" s="1"/>
      <c r="F65" s="1"/>
      <c r="G65" s="1"/>
      <c r="H65" s="1"/>
      <c r="I65" s="352"/>
      <c r="J65" s="1"/>
      <c r="K65" s="1"/>
      <c r="L65" s="1"/>
      <c r="M65" s="357"/>
      <c r="N65" s="358"/>
    </row>
    <row r="66" spans="1:14" ht="15" customHeight="1">
      <c r="A66" s="953"/>
      <c r="B66" s="8" t="s">
        <v>103</v>
      </c>
      <c r="C66" s="15" t="str">
        <f ca="1">IF(SUM(MUNDIAL!$T$22:$T$25)=12,MUNDIAL!R24,B66)</f>
        <v>Polonia</v>
      </c>
      <c r="D66" s="946"/>
      <c r="E66" s="1"/>
      <c r="F66" s="1"/>
      <c r="G66" s="1"/>
      <c r="H66" s="1"/>
      <c r="I66" s="352"/>
      <c r="J66" s="1"/>
      <c r="K66" s="1"/>
      <c r="L66" s="1"/>
      <c r="M66" s="357"/>
      <c r="N66" s="358"/>
    </row>
    <row r="67" spans="1:14" ht="15" customHeight="1">
      <c r="A67" s="953"/>
      <c r="B67" s="8" t="s">
        <v>104</v>
      </c>
      <c r="C67" s="15" t="str">
        <f ca="1">IF(SUM(MUNDIAL!$T$22:$T$25)=12,MUNDIAL!R25,B67)</f>
        <v>Arabia Saudita</v>
      </c>
      <c r="D67" s="946"/>
      <c r="E67" s="1"/>
      <c r="F67" s="1"/>
      <c r="G67" s="1"/>
      <c r="H67" s="1"/>
      <c r="I67" s="352"/>
      <c r="J67" s="1"/>
      <c r="K67" s="1"/>
      <c r="L67" s="1"/>
      <c r="M67" s="357"/>
      <c r="N67" s="358"/>
    </row>
    <row r="68" spans="1:14" ht="15" customHeight="1">
      <c r="A68" s="955" t="s">
        <v>121</v>
      </c>
      <c r="B68" s="8" t="s">
        <v>142</v>
      </c>
      <c r="C68" s="15" t="str">
        <f ca="1">IF(SUM(MUNDIAL!$T$30:$T$33)=12,MUNDIAL!R30,B68)</f>
        <v>Francia</v>
      </c>
      <c r="D68" s="946"/>
      <c r="E68" s="1"/>
      <c r="F68" s="1"/>
      <c r="G68" s="1"/>
      <c r="H68" s="1"/>
      <c r="I68" s="352"/>
      <c r="J68" s="1"/>
      <c r="K68" s="1"/>
      <c r="L68" s="1"/>
      <c r="M68" s="357"/>
      <c r="N68" s="358"/>
    </row>
    <row r="69" spans="1:14" ht="15" customHeight="1">
      <c r="A69" s="955"/>
      <c r="B69" s="8" t="s">
        <v>143</v>
      </c>
      <c r="C69" s="15" t="str">
        <f ca="1">IF(SUM(MUNDIAL!$T$30:$T$33)=12,MUNDIAL!R31,B69)</f>
        <v>Australia</v>
      </c>
      <c r="D69" s="946"/>
      <c r="E69" s="1"/>
      <c r="F69" s="1"/>
      <c r="G69" s="1"/>
      <c r="H69" s="1"/>
      <c r="I69" s="352"/>
      <c r="J69" s="1"/>
      <c r="K69" s="1"/>
      <c r="L69" s="1"/>
      <c r="M69" s="357"/>
      <c r="N69" s="358"/>
    </row>
    <row r="70" spans="1:14" ht="15" customHeight="1">
      <c r="A70" s="955"/>
      <c r="B70" s="8" t="s">
        <v>144</v>
      </c>
      <c r="C70" s="15" t="str">
        <f ca="1">IF(SUM(MUNDIAL!$T$30:$T$33)=12,MUNDIAL!R32,B70)</f>
        <v>Dinamarca</v>
      </c>
      <c r="D70" s="946"/>
      <c r="E70" s="1"/>
      <c r="F70" s="1"/>
      <c r="G70" s="1"/>
      <c r="H70" s="1"/>
      <c r="I70" s="352"/>
      <c r="J70" s="1"/>
      <c r="K70" s="1"/>
      <c r="L70" s="1"/>
      <c r="M70" s="357"/>
      <c r="N70" s="358"/>
    </row>
    <row r="71" spans="1:14" ht="15" customHeight="1">
      <c r="A71" s="955"/>
      <c r="B71" s="8" t="s">
        <v>145</v>
      </c>
      <c r="C71" s="15" t="str">
        <f ca="1">IF(SUM(MUNDIAL!$T$30:$T$33)=12,MUNDIAL!R33,B71)</f>
        <v>Túnez</v>
      </c>
      <c r="D71" s="946"/>
      <c r="E71" s="1"/>
      <c r="F71" s="1"/>
      <c r="G71" s="1"/>
      <c r="H71" s="1"/>
      <c r="I71" s="352"/>
      <c r="J71" s="1"/>
      <c r="K71" s="1"/>
      <c r="L71" s="1"/>
      <c r="M71" s="357"/>
      <c r="N71" s="358"/>
    </row>
    <row r="72" spans="1:14" ht="15" customHeight="1">
      <c r="A72" s="957" t="s">
        <v>3</v>
      </c>
      <c r="B72" s="8" t="s">
        <v>146</v>
      </c>
      <c r="C72" s="15" t="str">
        <f ca="1">IF(SUM(MUNDIAL!$T$38:$T$41)=12,MUNDIAL!R38,B72)</f>
        <v>Alemania</v>
      </c>
      <c r="D72" s="946"/>
      <c r="E72" s="1"/>
      <c r="F72" s="1"/>
      <c r="G72" s="1"/>
      <c r="H72" s="1"/>
      <c r="I72" s="352"/>
      <c r="J72" s="1"/>
      <c r="K72" s="1"/>
      <c r="L72" s="1"/>
      <c r="M72" s="357"/>
      <c r="N72" s="358"/>
    </row>
    <row r="73" spans="1:14" ht="15" customHeight="1">
      <c r="A73" s="957"/>
      <c r="B73" s="8" t="s">
        <v>147</v>
      </c>
      <c r="C73" s="15" t="str">
        <f ca="1">IF(SUM(MUNDIAL!$T$38:$T$41)=12,MUNDIAL!R39,B73)</f>
        <v>Costa Rica</v>
      </c>
      <c r="D73" s="946"/>
      <c r="E73" s="1"/>
      <c r="F73" s="1"/>
      <c r="G73" s="1"/>
      <c r="H73" s="1"/>
      <c r="I73" s="352"/>
      <c r="J73" s="1"/>
      <c r="K73" s="1"/>
      <c r="L73" s="1"/>
      <c r="M73" s="357"/>
      <c r="N73" s="358"/>
    </row>
    <row r="74" spans="1:14" ht="15" customHeight="1">
      <c r="A74" s="957"/>
      <c r="B74" s="8" t="s">
        <v>148</v>
      </c>
      <c r="C74" s="15" t="str">
        <f ca="1">IF(SUM(MUNDIAL!$T$38:$T$41)=12,MUNDIAL!R40,B74)</f>
        <v>España</v>
      </c>
      <c r="D74" s="946"/>
      <c r="E74" s="1"/>
      <c r="F74" s="1"/>
      <c r="G74" s="1"/>
      <c r="H74" s="1"/>
      <c r="I74" s="352"/>
      <c r="J74" s="1"/>
      <c r="K74" s="1"/>
      <c r="L74" s="1"/>
      <c r="M74" s="357"/>
      <c r="N74" s="358"/>
    </row>
    <row r="75" spans="1:14" ht="15" customHeight="1">
      <c r="A75" s="957"/>
      <c r="B75" s="8" t="s">
        <v>149</v>
      </c>
      <c r="C75" s="15" t="str">
        <f ca="1">IF(SUM(MUNDIAL!$T$38:$T$41)=12,MUNDIAL!R41,B75)</f>
        <v>Japón</v>
      </c>
      <c r="D75" s="946"/>
      <c r="E75" s="1"/>
      <c r="F75" s="1"/>
      <c r="G75" s="1"/>
      <c r="H75" s="1"/>
      <c r="I75" s="352"/>
      <c r="J75" s="1"/>
      <c r="K75" s="1"/>
      <c r="L75" s="1"/>
      <c r="M75" s="357"/>
      <c r="N75" s="358"/>
    </row>
    <row r="76" spans="1:14" ht="15" customHeight="1">
      <c r="A76" s="956" t="s">
        <v>4</v>
      </c>
      <c r="B76" s="8" t="s">
        <v>150</v>
      </c>
      <c r="C76" s="15" t="str">
        <f ca="1">IF(SUM(MUNDIAL!$T$46:$T$49)=12,MUNDIAL!R46,B76)</f>
        <v>Bélgica</v>
      </c>
      <c r="D76" s="946"/>
      <c r="E76" s="1"/>
      <c r="F76" s="1"/>
      <c r="G76" s="1"/>
      <c r="H76" s="1"/>
      <c r="I76" s="352"/>
      <c r="J76" s="1"/>
      <c r="K76" s="1"/>
      <c r="L76" s="1"/>
      <c r="M76" s="357"/>
      <c r="N76" s="358"/>
    </row>
    <row r="77" spans="1:14" ht="15" customHeight="1">
      <c r="A77" s="956"/>
      <c r="B77" s="8" t="s">
        <v>151</v>
      </c>
      <c r="C77" s="15" t="str">
        <f ca="1">IF(SUM(MUNDIAL!$T$46:$T$49)=12,MUNDIAL!R47,B77)</f>
        <v>Marruecos</v>
      </c>
      <c r="D77" s="946"/>
      <c r="E77" s="1"/>
      <c r="F77" s="1"/>
      <c r="G77" s="1"/>
      <c r="H77" s="1"/>
      <c r="I77" s="352"/>
      <c r="J77" s="1"/>
      <c r="K77" s="1"/>
      <c r="L77" s="1"/>
      <c r="M77" s="357"/>
      <c r="N77" s="358"/>
    </row>
    <row r="78" spans="1:14" ht="15" customHeight="1">
      <c r="A78" s="956"/>
      <c r="B78" s="8" t="s">
        <v>152</v>
      </c>
      <c r="C78" s="15" t="str">
        <f ca="1">IF(SUM(MUNDIAL!$T$46:$T$49)=12,MUNDIAL!R48,B78)</f>
        <v>Croacia</v>
      </c>
      <c r="D78" s="946"/>
      <c r="E78" s="1"/>
      <c r="F78" s="1"/>
      <c r="G78" s="1"/>
      <c r="H78" s="1"/>
      <c r="I78" s="352"/>
      <c r="J78" s="1"/>
      <c r="K78" s="1"/>
      <c r="L78" s="1"/>
      <c r="M78" s="357"/>
      <c r="N78" s="358"/>
    </row>
    <row r="79" spans="1:14" ht="15" customHeight="1">
      <c r="A79" s="956"/>
      <c r="B79" s="8" t="s">
        <v>153</v>
      </c>
      <c r="C79" s="15" t="str">
        <f ca="1">IF(SUM(MUNDIAL!$T$46:$T$49)=12,MUNDIAL!R49,B79)</f>
        <v>Canadá</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Camerún</v>
      </c>
      <c r="D81" s="946"/>
      <c r="E81" s="1"/>
      <c r="F81" s="1"/>
      <c r="G81" s="1"/>
      <c r="H81" s="1"/>
      <c r="I81" s="352"/>
      <c r="J81" s="1"/>
      <c r="K81" s="1"/>
      <c r="L81" s="1"/>
      <c r="M81" s="357"/>
      <c r="N81" s="358"/>
    </row>
    <row r="82" spans="1:14" ht="15" customHeight="1">
      <c r="A82" s="962"/>
      <c r="B82" s="8" t="s">
        <v>215</v>
      </c>
      <c r="C82" s="15" t="str">
        <f ca="1">IF(SUM(MUNDIAL!$T$54:$T$57)=12,MUNDIAL!R56,B82)</f>
        <v>Suiza</v>
      </c>
      <c r="D82" s="946"/>
      <c r="E82" s="1"/>
      <c r="F82" s="1"/>
      <c r="G82" s="1"/>
      <c r="H82" s="1"/>
      <c r="I82" s="352"/>
      <c r="J82" s="1"/>
      <c r="K82" s="1"/>
      <c r="L82" s="1"/>
      <c r="M82" s="357"/>
      <c r="N82" s="358"/>
    </row>
    <row r="83" spans="1:14" ht="15" customHeight="1">
      <c r="A83" s="962"/>
      <c r="B83" s="8" t="s">
        <v>216</v>
      </c>
      <c r="C83" s="15" t="str">
        <f ca="1">IF(SUM(MUNDIAL!$T$54:$T$57)=12,MUNDIAL!R57,B83)</f>
        <v>Serbia</v>
      </c>
      <c r="D83" s="946"/>
      <c r="E83" s="1"/>
      <c r="F83" s="1"/>
      <c r="G83" s="1"/>
      <c r="H83" s="1"/>
      <c r="I83" s="352"/>
      <c r="J83" s="1"/>
      <c r="K83" s="1"/>
      <c r="L83" s="1"/>
      <c r="M83" s="357"/>
      <c r="N83" s="358"/>
    </row>
    <row r="84" spans="1:14" ht="15" customHeight="1">
      <c r="A84" s="963" t="s">
        <v>190</v>
      </c>
      <c r="B84" s="8" t="s">
        <v>212</v>
      </c>
      <c r="C84" s="15" t="str">
        <f ca="1">IF(SUM(MUNDIAL!$T$62:$T$65)=12,MUNDIAL!R62,B83)</f>
        <v>Portugal</v>
      </c>
      <c r="D84" s="946"/>
      <c r="E84" s="1"/>
      <c r="F84" s="1"/>
      <c r="G84" s="1"/>
      <c r="H84" s="1"/>
      <c r="I84" s="352"/>
      <c r="J84" s="1"/>
      <c r="K84" s="1"/>
      <c r="L84" s="1"/>
      <c r="M84" s="357"/>
      <c r="N84" s="358"/>
    </row>
    <row r="85" spans="1:14" ht="15" customHeight="1">
      <c r="A85" s="963"/>
      <c r="B85" s="8" t="s">
        <v>217</v>
      </c>
      <c r="C85" s="15" t="str">
        <f ca="1">IF(SUM(MUNDIAL!$T$62:$T$65)=12,MUNDIAL!R63,B84)</f>
        <v>Uruguay</v>
      </c>
      <c r="D85" s="946"/>
      <c r="E85" s="1"/>
      <c r="F85" s="1"/>
      <c r="G85" s="1"/>
      <c r="H85" s="1"/>
      <c r="I85" s="352"/>
      <c r="J85" s="1"/>
      <c r="K85" s="1"/>
      <c r="L85" s="1"/>
      <c r="M85" s="357"/>
      <c r="N85" s="358"/>
    </row>
    <row r="86" spans="1:14" ht="15" customHeight="1">
      <c r="A86" s="963"/>
      <c r="B86" s="8" t="s">
        <v>218</v>
      </c>
      <c r="C86" s="15" t="str">
        <f ca="1">IF(SUM(MUNDIAL!$T$62:$T$65)=12,MUNDIAL!R64,B85)</f>
        <v>Corea del Sur</v>
      </c>
      <c r="D86" s="946"/>
      <c r="E86" s="1"/>
      <c r="F86" s="1"/>
      <c r="G86" s="1"/>
      <c r="H86" s="1"/>
      <c r="I86" s="352"/>
      <c r="J86" s="1"/>
      <c r="K86" s="1"/>
      <c r="L86" s="1"/>
      <c r="M86" s="357"/>
      <c r="N86" s="358"/>
    </row>
    <row r="87" spans="1:14" ht="15" customHeight="1">
      <c r="A87" s="963"/>
      <c r="B87" s="8" t="s">
        <v>219</v>
      </c>
      <c r="C87" s="15" t="str">
        <f ca="1">IF(SUM(MUNDIAL!$T$62:$T$65)=12,MUNDIAL!R65,B86)</f>
        <v>Ghana</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8.95"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Catar</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Francia</v>
      </c>
      <c r="D92" s="946"/>
      <c r="E92" s="1"/>
      <c r="F92" s="1"/>
      <c r="G92" s="1"/>
      <c r="H92" s="1"/>
      <c r="I92" s="352"/>
      <c r="J92" s="1"/>
      <c r="K92" s="1"/>
      <c r="L92" s="1"/>
      <c r="M92" s="357"/>
      <c r="N92" s="358"/>
    </row>
    <row r="93" spans="1:14" ht="15" customHeight="1">
      <c r="A93" s="944"/>
      <c r="B93" s="8" t="s">
        <v>155</v>
      </c>
      <c r="C93" s="15" t="str">
        <f ca="1">MUNDIAL!I72</f>
        <v>Inglaterra</v>
      </c>
      <c r="D93" s="946"/>
      <c r="E93" s="1"/>
      <c r="F93" s="1"/>
      <c r="G93" s="1"/>
      <c r="H93" s="1"/>
      <c r="I93" s="352"/>
      <c r="J93" s="1"/>
      <c r="K93" s="1"/>
      <c r="L93" s="1"/>
      <c r="M93" s="357"/>
      <c r="N93" s="358"/>
    </row>
    <row r="94" spans="1:14" ht="15" customHeight="1">
      <c r="A94" s="944"/>
      <c r="B94" s="8" t="s">
        <v>155</v>
      </c>
      <c r="C94" s="15" t="str">
        <f ca="1">MUNDIAL!I73</f>
        <v>Alemania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Bélgica</v>
      </c>
      <c r="D96" s="946"/>
      <c r="E96" s="1"/>
      <c r="F96" s="1"/>
      <c r="G96" s="1"/>
      <c r="H96" s="1"/>
      <c r="I96" s="352"/>
      <c r="J96" s="1"/>
      <c r="K96" s="1"/>
      <c r="L96" s="1"/>
      <c r="M96" s="357"/>
      <c r="N96" s="358"/>
    </row>
    <row r="97" spans="1:14" ht="15" customHeight="1">
      <c r="A97" s="944"/>
      <c r="B97" s="8" t="s">
        <v>155</v>
      </c>
      <c r="C97" s="15" t="str">
        <f ca="1">MUNDIAL!I76</f>
        <v>Portugal</v>
      </c>
      <c r="D97" s="946"/>
      <c r="E97" s="1"/>
      <c r="F97" s="1"/>
      <c r="G97" s="1"/>
      <c r="H97" s="1"/>
      <c r="I97" s="352"/>
      <c r="J97" s="1"/>
      <c r="K97" s="1"/>
      <c r="L97" s="1"/>
      <c r="M97" s="357"/>
      <c r="N97" s="358"/>
    </row>
    <row r="98" spans="1:14" ht="15" customHeight="1">
      <c r="A98" s="944"/>
      <c r="B98" s="8" t="s">
        <v>155</v>
      </c>
      <c r="C98" s="15" t="str">
        <f ca="1">MUNDIAL!N69</f>
        <v>Estados unidos</v>
      </c>
      <c r="D98" s="946"/>
      <c r="E98" s="1"/>
      <c r="F98" s="1"/>
      <c r="G98" s="1"/>
      <c r="H98" s="1"/>
      <c r="I98" s="352"/>
      <c r="J98" s="1"/>
      <c r="K98" s="1"/>
      <c r="L98" s="1"/>
      <c r="M98" s="357"/>
      <c r="N98" s="358"/>
    </row>
    <row r="99" spans="1:14" ht="15" customHeight="1">
      <c r="A99" s="944"/>
      <c r="B99" s="8" t="s">
        <v>155</v>
      </c>
      <c r="C99" s="15" t="str">
        <f ca="1">MUNDIAL!N70</f>
        <v>Australia</v>
      </c>
      <c r="D99" s="946"/>
      <c r="E99" s="1"/>
      <c r="F99" s="1"/>
      <c r="G99" s="1"/>
      <c r="H99" s="1"/>
      <c r="I99" s="352"/>
      <c r="J99" s="1"/>
      <c r="K99" s="1"/>
      <c r="L99" s="1"/>
      <c r="M99" s="357"/>
      <c r="N99" s="358"/>
    </row>
    <row r="100" spans="1:14" ht="15" customHeight="1">
      <c r="A100" s="944"/>
      <c r="B100" s="8" t="s">
        <v>155</v>
      </c>
      <c r="C100" s="15" t="str">
        <f ca="1">MUNDIAL!N71</f>
        <v>México</v>
      </c>
      <c r="D100" s="946"/>
      <c r="E100" s="1"/>
      <c r="F100" s="1"/>
      <c r="G100" s="1"/>
      <c r="H100" s="1"/>
      <c r="I100" s="352"/>
      <c r="J100" s="1"/>
      <c r="K100" s="1"/>
      <c r="L100" s="1"/>
      <c r="M100" s="357"/>
      <c r="N100" s="358"/>
    </row>
    <row r="101" spans="1:14" ht="15" customHeight="1">
      <c r="A101" s="944"/>
      <c r="B101" s="8" t="s">
        <v>155</v>
      </c>
      <c r="C101" s="15" t="str">
        <f ca="1">MUNDIAL!N72</f>
        <v>Paises Bajos</v>
      </c>
      <c r="D101" s="946"/>
      <c r="E101" s="1"/>
      <c r="F101" s="1"/>
      <c r="G101" s="1"/>
      <c r="H101" s="1"/>
      <c r="I101" s="352"/>
      <c r="J101" s="1"/>
      <c r="K101" s="1"/>
      <c r="L101" s="1"/>
      <c r="M101" s="357"/>
      <c r="N101" s="358"/>
    </row>
    <row r="102" spans="1:14" ht="15" customHeight="1">
      <c r="A102" s="944"/>
      <c r="B102" s="8" t="s">
        <v>155</v>
      </c>
      <c r="C102" s="15" t="str">
        <f ca="1">MUNDIAL!N73</f>
        <v>Marruecos</v>
      </c>
      <c r="D102" s="946"/>
      <c r="E102" s="1"/>
      <c r="F102" s="1"/>
      <c r="G102" s="1"/>
      <c r="H102" s="1"/>
      <c r="I102" s="352"/>
      <c r="J102" s="1"/>
      <c r="K102" s="1"/>
      <c r="L102" s="1"/>
      <c r="M102" s="357"/>
      <c r="N102" s="358"/>
    </row>
    <row r="103" spans="1:14" ht="15" customHeight="1">
      <c r="A103" s="944"/>
      <c r="B103" s="8" t="s">
        <v>155</v>
      </c>
      <c r="C103" s="15" t="str">
        <f ca="1">MUNDIAL!N74</f>
        <v>Uruguay</v>
      </c>
      <c r="D103" s="946"/>
      <c r="E103" s="1"/>
      <c r="F103" s="1"/>
      <c r="G103" s="1"/>
      <c r="H103" s="1"/>
      <c r="I103" s="352"/>
      <c r="J103" s="1"/>
      <c r="K103" s="1"/>
      <c r="L103" s="1"/>
      <c r="M103" s="357"/>
      <c r="N103" s="358"/>
    </row>
    <row r="104" spans="1:14" ht="15" customHeight="1">
      <c r="A104" s="944"/>
      <c r="B104" s="8" t="s">
        <v>155</v>
      </c>
      <c r="C104" s="15" t="str">
        <f ca="1">MUNDIAL!N75</f>
        <v>Costa Rica</v>
      </c>
      <c r="D104" s="946"/>
      <c r="E104" s="1"/>
      <c r="F104" s="1"/>
      <c r="G104" s="1"/>
      <c r="H104" s="1"/>
      <c r="I104" s="352"/>
      <c r="J104" s="1"/>
      <c r="K104" s="1"/>
      <c r="L104" s="1"/>
      <c r="M104" s="357"/>
      <c r="N104" s="358"/>
    </row>
    <row r="105" spans="1:14" ht="15" customHeight="1">
      <c r="A105" s="944"/>
      <c r="B105" s="8" t="s">
        <v>155</v>
      </c>
      <c r="C105" s="15" t="str">
        <f ca="1">MUNDIAL!N76</f>
        <v>Camerún</v>
      </c>
      <c r="D105" s="946"/>
      <c r="E105" s="1"/>
      <c r="F105" s="1"/>
      <c r="G105" s="1"/>
      <c r="H105" s="1"/>
      <c r="I105" s="359"/>
      <c r="J105" s="1"/>
      <c r="K105" s="1"/>
      <c r="L105" s="1"/>
      <c r="M105" s="357"/>
      <c r="N105" s="358"/>
    </row>
    <row r="106" spans="1:14" ht="20.100000000000001" customHeight="1">
      <c r="C106" s="15"/>
      <c r="D106" s="1"/>
      <c r="E106" s="973" t="s">
        <v>228</v>
      </c>
      <c r="F106" s="974"/>
      <c r="G106" s="974"/>
      <c r="H106" s="974"/>
      <c r="I106" s="974"/>
      <c r="J106" s="974"/>
      <c r="K106" s="974"/>
      <c r="L106" s="975"/>
      <c r="M106" s="343"/>
      <c r="N106" s="358"/>
    </row>
    <row r="107" spans="1:14" ht="23.1"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Catar-Estados unidos</v>
      </c>
      <c r="C108" s="15" t="str">
        <f ca="1">CONCATENATE(MUNDIAL!I69,"-",MUNDIAL!N69,"·",IF(MUNDIAL!K69&gt;MUNDIAL!L69,1,IF(MUNDIAL!K69&lt;MUNDIAL!L69,2,IF(AND(MUNDIAL!K69=MUNDIAL!L69,MUNDIAL!K69&lt;&gt;"",MUNDIAL!L69&lt;&gt;""),"X",0))),"|",MUNDIAL!K69,"-",MUNDIAL!L69)</f>
        <v>Catar-Estados unidos·0|-</v>
      </c>
      <c r="D108" s="943" t="s">
        <v>137</v>
      </c>
      <c r="E108" s="965" t="s">
        <v>229</v>
      </c>
      <c r="F108" s="966"/>
      <c r="G108" s="966"/>
      <c r="H108" s="966"/>
      <c r="I108" s="342"/>
      <c r="J108" s="1"/>
      <c r="K108" s="1"/>
      <c r="L108" s="1"/>
      <c r="M108" s="341"/>
      <c r="N108" s="358"/>
    </row>
    <row r="109" spans="1:14" ht="15" customHeight="1">
      <c r="A109" s="944"/>
      <c r="B109" t="str">
        <f ca="1">CONCATENATE(MUNDIAL!I70,"-",MUNDIAL!N70)</f>
        <v>Argentina-Australia</v>
      </c>
      <c r="C109" s="15" t="str">
        <f ca="1">CONCATENATE(MUNDIAL!I70,"-",MUNDIAL!N70,"·",IF(MUNDIAL!K70&gt;MUNDIAL!L70,1,IF(MUNDIAL!K70&lt;MUNDIAL!L70,2,IF(AND(MUNDIAL!K70=MUNDIAL!L70,MUNDIAL!K70&lt;&gt;"",MUNDIAL!L70&lt;&gt;""),"X",0))),"|",MUNDIAL!K70,"-",MUNDIAL!L70)</f>
        <v>Argentina-Australia·0|-</v>
      </c>
      <c r="D109" s="943"/>
      <c r="E109" s="949"/>
      <c r="F109" s="950"/>
      <c r="G109" s="950"/>
      <c r="H109" s="950"/>
      <c r="I109" s="342"/>
      <c r="J109" s="1"/>
      <c r="K109" s="1"/>
      <c r="L109" s="1"/>
      <c r="M109" s="341"/>
      <c r="N109" s="358"/>
    </row>
    <row r="110" spans="1:14" ht="15" customHeight="1">
      <c r="A110" s="944"/>
      <c r="B110" t="str">
        <f ca="1">CONCATENATE(MUNDIAL!I71,"-",MUNDIAL!N71)</f>
        <v>Francia-México</v>
      </c>
      <c r="C110" s="15" t="str">
        <f ca="1">CONCATENATE(MUNDIAL!I71,"-",MUNDIAL!N71,"·",IF(MUNDIAL!K71&gt;MUNDIAL!L71,1,IF(MUNDIAL!K71&lt;MUNDIAL!L71,2,IF(AND(MUNDIAL!K71=MUNDIAL!L71,MUNDIAL!K71&lt;&gt;"",MUNDIAL!L71&lt;&gt;""),"X",0))),"|",MUNDIAL!K71,"-",MUNDIAL!L71)</f>
        <v>Francia-México·0|-</v>
      </c>
      <c r="D110" s="943"/>
      <c r="E110" s="949"/>
      <c r="F110" s="950"/>
      <c r="G110" s="950"/>
      <c r="H110" s="950"/>
      <c r="I110" s="342"/>
      <c r="J110" s="1"/>
      <c r="K110" s="1"/>
      <c r="L110" s="1"/>
      <c r="M110" s="341"/>
      <c r="N110" s="358"/>
    </row>
    <row r="111" spans="1:14" ht="15" customHeight="1">
      <c r="A111" s="944"/>
      <c r="B111" t="str">
        <f ca="1">CONCATENATE(MUNDIAL!I72,"-",MUNDIAL!N72)</f>
        <v>Inglaterra-Paises Bajos</v>
      </c>
      <c r="C111" s="15" t="str">
        <f ca="1">CONCATENATE(MUNDIAL!I72,"-",MUNDIAL!N72,"·",IF(MUNDIAL!K72&gt;MUNDIAL!L72,1,IF(MUNDIAL!K72&lt;MUNDIAL!L72,2,IF(AND(MUNDIAL!K72=MUNDIAL!L72,MUNDIAL!K72&lt;&gt;"",MUNDIAL!L72&lt;&gt;""),"X",0))),"|",MUNDIAL!K72,"-",MUNDIAL!L72)</f>
        <v>Inglaterra-Paises Bajos·0|-</v>
      </c>
      <c r="D111" s="943"/>
      <c r="E111" s="949"/>
      <c r="F111" s="950"/>
      <c r="G111" s="950"/>
      <c r="H111" s="950"/>
      <c r="I111" s="342"/>
      <c r="J111" s="1"/>
      <c r="K111" s="1"/>
      <c r="L111" s="1"/>
      <c r="M111" s="341"/>
      <c r="N111" s="358"/>
    </row>
    <row r="112" spans="1:14" ht="15" customHeight="1">
      <c r="A112" s="944"/>
      <c r="B112" t="str">
        <f ca="1">CONCATENATE(MUNDIAL!I73,"-",MUNDIAL!N73)</f>
        <v>Alemania-Marruecos</v>
      </c>
      <c r="C112" s="15" t="str">
        <f ca="1">CONCATENATE(MUNDIAL!I73,"-",MUNDIAL!N73,"·",IF(MUNDIAL!K73&gt;MUNDIAL!L73,1,IF(MUNDIAL!K73&lt;MUNDIAL!L73,2,IF(AND(MUNDIAL!K73=MUNDIAL!L73,MUNDIAL!K73&lt;&gt;"",MUNDIAL!L73&lt;&gt;""),"X",0))),"|",MUNDIAL!K73,"-",MUNDIAL!L73)</f>
        <v>Alemania-Marruecos·0|-</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3"/>
      <c r="E113" s="1"/>
      <c r="F113" s="1"/>
      <c r="G113" s="1"/>
      <c r="H113" s="1"/>
      <c r="I113" s="342"/>
      <c r="J113" s="1"/>
      <c r="K113" s="1"/>
      <c r="L113" s="1"/>
      <c r="M113" s="341"/>
      <c r="N113" s="358"/>
    </row>
    <row r="114" spans="1:14" ht="15" customHeight="1">
      <c r="A114" s="944"/>
      <c r="B114" t="str">
        <f ca="1">CONCATENATE(MUNDIAL!I75,"-",MUNDIAL!N75)</f>
        <v>Bélgica-Costa Rica</v>
      </c>
      <c r="C114" s="15" t="str">
        <f ca="1">CONCATENATE(MUNDIAL!I75,"-",MUNDIAL!N75,"·",IF(MUNDIAL!K75&gt;MUNDIAL!L75,1,IF(MUNDIAL!K75&lt;MUNDIAL!L75,2,IF(AND(MUNDIAL!K75=MUNDIAL!L75,MUNDIAL!K75&lt;&gt;"",MUNDIAL!L75&lt;&gt;""),"X",0))),"|",MUNDIAL!K75,"-",MUNDIAL!L75)</f>
        <v>Bélgica-Costa Rica·0|-</v>
      </c>
      <c r="D114" s="943"/>
      <c r="E114" s="1"/>
      <c r="F114" s="1"/>
      <c r="G114" s="1"/>
      <c r="H114" s="1"/>
      <c r="I114" s="342"/>
      <c r="J114" s="1"/>
      <c r="K114" s="1"/>
      <c r="L114" s="1"/>
      <c r="M114" s="341"/>
      <c r="N114" s="358"/>
    </row>
    <row r="115" spans="1:14" ht="15" customHeight="1">
      <c r="A115" s="944"/>
      <c r="B115" t="str">
        <f ca="1">CONCATENATE(MUNDIAL!I76,"-",MUNDIAL!N76)</f>
        <v>Portugal-Camerún</v>
      </c>
      <c r="C115" s="15" t="str">
        <f ca="1">CONCATENATE(MUNDIAL!I76,"-",MUNDIAL!N76,"·",IF(MUNDIAL!K76&gt;MUNDIAL!L76,1,IF(MUNDIAL!K76&lt;MUNDIAL!L76,2,IF(AND(MUNDIAL!K76=MUNDIAL!L76,MUNDIAL!K76&lt;&gt;"",MUNDIAL!L76&lt;&gt;""),"X",0))),"|",MUNDIAL!K76,"-",MUNDIAL!L76)</f>
        <v>Portugal-Camerún·0|-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8.95"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75">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8.95" customHeight="1">
      <c r="B147" s="12" t="s">
        <v>111</v>
      </c>
      <c r="C147" s="15"/>
      <c r="D147" s="943"/>
      <c r="E147" s="1"/>
      <c r="F147" s="1"/>
      <c r="G147" s="1"/>
      <c r="H147" s="1"/>
      <c r="I147" s="342"/>
      <c r="J147" s="1"/>
      <c r="K147" s="1"/>
      <c r="L147" s="1"/>
      <c r="M147" s="341"/>
      <c r="N147" s="358"/>
    </row>
    <row r="148" spans="1:14" ht="21.95"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8.95" customHeight="1">
      <c r="B157" s="12" t="s">
        <v>38</v>
      </c>
      <c r="C157" s="15"/>
      <c r="D157" s="961"/>
      <c r="E157" s="1"/>
      <c r="F157" s="1"/>
      <c r="G157" s="1"/>
      <c r="H157" s="370"/>
      <c r="I157" s="352"/>
      <c r="J157" s="1"/>
      <c r="K157" s="1"/>
      <c r="L157" s="1"/>
      <c r="M157" s="341"/>
      <c r="N157" s="358"/>
    </row>
    <row r="158" spans="1:14" ht="18.95" customHeight="1">
      <c r="A158" s="340"/>
      <c r="B158" s="8" t="str">
        <f>MUNDIAL!E97</f>
        <v>Campeón</v>
      </c>
      <c r="C158" s="15" t="str">
        <f>MUNDIAL!I97</f>
        <v>WF</v>
      </c>
      <c r="D158" s="961"/>
      <c r="E158" s="1"/>
      <c r="F158" s="1"/>
      <c r="G158" s="1"/>
      <c r="H158" s="370"/>
      <c r="I158" s="352"/>
      <c r="J158" s="1"/>
      <c r="K158" s="1"/>
      <c r="L158" s="1"/>
      <c r="M158" s="341"/>
      <c r="N158" s="358"/>
    </row>
    <row r="159" spans="1:14" ht="15.95" customHeight="1">
      <c r="A159" s="184"/>
      <c r="B159" s="8" t="str">
        <f>MUNDIAL!E98</f>
        <v>Subcampeón</v>
      </c>
      <c r="C159" s="15" t="str">
        <f>MUNDIAL!I98</f>
        <v>LF</v>
      </c>
      <c r="D159" s="961"/>
      <c r="E159" s="1"/>
      <c r="F159" s="1"/>
      <c r="G159" s="1"/>
      <c r="H159" s="370"/>
      <c r="I159" s="347"/>
      <c r="J159" s="354"/>
      <c r="K159" s="353"/>
      <c r="L159" s="353"/>
      <c r="M159" s="341"/>
      <c r="N159" s="358"/>
    </row>
    <row r="160" spans="1:14" ht="18.95"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8.75">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75">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75">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1</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2</v>
      </c>
      <c r="E4" s="497">
        <f>MUNDIAL!L5</f>
        <v>1</v>
      </c>
      <c r="F4" s="498" t="str">
        <f ca="1">MID(MUNDIAL!N5,1,3)</f>
        <v>Ecu</v>
      </c>
      <c r="G4" s="1">
        <v>1</v>
      </c>
      <c r="H4" s="733" t="str">
        <f ca="1">MID(MUNDIAL!R6,1,3)</f>
        <v>Cat</v>
      </c>
      <c r="I4" s="793">
        <f ca="1">MUNDIAL!S6</f>
        <v>9</v>
      </c>
      <c r="J4" s="499">
        <f ca="1">MUNDIAL!T6</f>
        <v>3</v>
      </c>
      <c r="K4" s="499">
        <f ca="1">MUNDIAL!Z6</f>
        <v>5</v>
      </c>
      <c r="L4" s="504">
        <f ca="1">MUNDIAL!X6</f>
        <v>7</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1</v>
      </c>
      <c r="AS4" s="610">
        <f>MUNDIAL!L37</f>
        <v>2</v>
      </c>
      <c r="AT4" s="611" t="str">
        <f ca="1">MID(MUNDIAL!N37,1,3)</f>
        <v>Cos</v>
      </c>
      <c r="AU4" s="718">
        <v>1</v>
      </c>
      <c r="AV4" s="739" t="str">
        <f ca="1">MID(MUNDIAL!R38,1,3)</f>
        <v>Ale</v>
      </c>
      <c r="AW4" s="799">
        <f ca="1">MUNDIAL!S38</f>
        <v>9</v>
      </c>
      <c r="AX4" s="612">
        <f ca="1">MUNDIAL!T38</f>
        <v>3</v>
      </c>
      <c r="AY4" s="612">
        <f ca="1">MUNDIAL!Z38</f>
        <v>6</v>
      </c>
      <c r="AZ4" s="613">
        <f ca="1">MUNDIAL!X38</f>
        <v>10</v>
      </c>
      <c r="BA4" s="1"/>
    </row>
    <row r="5" spans="1:53">
      <c r="A5" s="1"/>
      <c r="B5" s="573"/>
      <c r="C5" s="503" t="str">
        <f ca="1">MID(MUNDIAL!I6,1,3)</f>
        <v>Cat</v>
      </c>
      <c r="D5" s="497">
        <f>MUNDIAL!K6</f>
        <v>2</v>
      </c>
      <c r="E5" s="497">
        <f>MUNDIAL!L6</f>
        <v>1</v>
      </c>
      <c r="F5" s="498" t="str">
        <f ca="1">MID(MUNDIAL!N6,1,3)</f>
        <v>Sen</v>
      </c>
      <c r="G5" s="1">
        <v>2</v>
      </c>
      <c r="H5" s="733" t="str">
        <f ca="1">MID(MUNDIAL!R7,1,3)</f>
        <v>Pai</v>
      </c>
      <c r="I5" s="793">
        <f ca="1">MUNDIAL!S7</f>
        <v>6</v>
      </c>
      <c r="J5" s="499">
        <f ca="1">MUNDIAL!T7</f>
        <v>3</v>
      </c>
      <c r="K5" s="499">
        <f ca="1">MUNDIAL!Z7</f>
        <v>0</v>
      </c>
      <c r="L5" s="504">
        <f ca="1">MUNDIAL!X7</f>
        <v>5</v>
      </c>
      <c r="M5" s="1"/>
      <c r="N5" s="748" t="str">
        <f ca="1">MID(MUNDIAL!I69,1,3)</f>
        <v>Cat</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3</v>
      </c>
      <c r="AT5" s="615" t="str">
        <f ca="1">MID(MUNDIAL!N38,1,3)</f>
        <v>Cos</v>
      </c>
      <c r="AU5" s="718">
        <v>2</v>
      </c>
      <c r="AV5" s="740" t="str">
        <f ca="1">MID(MUNDIAL!R39,1,3)</f>
        <v>Cos</v>
      </c>
      <c r="AW5" s="800">
        <f ca="1">MUNDIAL!S39</f>
        <v>6</v>
      </c>
      <c r="AX5" s="612">
        <f ca="1">MUNDIAL!T39</f>
        <v>3</v>
      </c>
      <c r="AY5" s="616">
        <f ca="1">MUNDIAL!Z39</f>
        <v>2</v>
      </c>
      <c r="AZ5" s="618">
        <f ca="1">MUNDIAL!X39</f>
        <v>7</v>
      </c>
      <c r="BA5" s="1"/>
    </row>
    <row r="6" spans="1:53">
      <c r="A6" s="1"/>
      <c r="B6" s="573"/>
      <c r="C6" s="503" t="str">
        <f ca="1">MID(MUNDIAL!I7,1,3)</f>
        <v>Pai</v>
      </c>
      <c r="D6" s="497">
        <f>MUNDIAL!K7</f>
        <v>3</v>
      </c>
      <c r="E6" s="497">
        <f>MUNDIAL!L7</f>
        <v>1</v>
      </c>
      <c r="F6" s="498" t="str">
        <f ca="1">MID(MUNDIAL!N7,1,3)</f>
        <v>Ecu</v>
      </c>
      <c r="G6" s="1">
        <v>3</v>
      </c>
      <c r="H6" s="733" t="str">
        <f ca="1">MID(MUNDIAL!R8,1,3)</f>
        <v>Ecu</v>
      </c>
      <c r="I6" s="793">
        <f ca="1">MUNDIAL!S8</f>
        <v>3</v>
      </c>
      <c r="J6" s="499">
        <f ca="1">MUNDIAL!T8</f>
        <v>3</v>
      </c>
      <c r="K6" s="499">
        <f ca="1">MUNDIAL!Z8</f>
        <v>-1</v>
      </c>
      <c r="L6" s="504">
        <f ca="1">MUNDIAL!X8</f>
        <v>4</v>
      </c>
      <c r="M6" s="1"/>
      <c r="N6" s="748" t="str">
        <f ca="1">MID(MUNDIAL!N69,1,3)</f>
        <v>Est</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Pai</v>
      </c>
      <c r="AO6" s="1"/>
      <c r="AP6" s="599"/>
      <c r="AQ6" s="619" t="str">
        <f ca="1">MID(MUNDIAL!I39,1,3)</f>
        <v>Esp</v>
      </c>
      <c r="AR6" s="610">
        <f>MUNDIAL!K39</f>
        <v>1</v>
      </c>
      <c r="AS6" s="610">
        <f>MUNDIAL!L39</f>
        <v>4</v>
      </c>
      <c r="AT6" s="611" t="str">
        <f ca="1">MID(MUNDIAL!N39,1,3)</f>
        <v>Ale</v>
      </c>
      <c r="AU6" s="718">
        <v>3</v>
      </c>
      <c r="AV6" s="739" t="str">
        <f ca="1">MID(MUNDIAL!R40,1,3)</f>
        <v>Esp</v>
      </c>
      <c r="AW6" s="799">
        <f ca="1">MUNDIAL!S40</f>
        <v>3</v>
      </c>
      <c r="AX6" s="612">
        <f ca="1">MUNDIAL!T40</f>
        <v>3</v>
      </c>
      <c r="AY6" s="612">
        <f ca="1">MUNDIAL!Z40</f>
        <v>-3</v>
      </c>
      <c r="AZ6" s="613">
        <f ca="1">MUNDIAL!X40</f>
        <v>3</v>
      </c>
      <c r="BA6" s="1"/>
    </row>
    <row r="7" spans="1:53">
      <c r="A7" s="1"/>
      <c r="B7" s="573"/>
      <c r="C7" s="503" t="str">
        <f ca="1">MID(MUNDIAL!I8,1,3)</f>
        <v>Ecu</v>
      </c>
      <c r="D7" s="497">
        <f>MUNDIAL!K8</f>
        <v>2</v>
      </c>
      <c r="E7" s="497">
        <f>MUNDIAL!L8</f>
        <v>0</v>
      </c>
      <c r="F7" s="498" t="str">
        <f ca="1">MID(MUNDIAL!N8,1,3)</f>
        <v>Sen</v>
      </c>
      <c r="G7" s="1">
        <v>4</v>
      </c>
      <c r="H7" s="733" t="str">
        <f ca="1">MID(MUNDIAL!R9,1,3)</f>
        <v>Sen</v>
      </c>
      <c r="I7" s="793">
        <f ca="1">MUNDIAL!S9</f>
        <v>0</v>
      </c>
      <c r="J7" s="499">
        <f ca="1">MUNDIAL!T9</f>
        <v>3</v>
      </c>
      <c r="K7" s="499">
        <f ca="1">MUNDIAL!Z9</f>
        <v>-4</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0</v>
      </c>
      <c r="AS7" s="610">
        <f>MUNDIAL!L40</f>
        <v>1</v>
      </c>
      <c r="AT7" s="611" t="str">
        <f ca="1">MID(MUNDIAL!N40,1,3)</f>
        <v>Esp</v>
      </c>
      <c r="AU7" s="718">
        <v>4</v>
      </c>
      <c r="AV7" s="739" t="str">
        <f ca="1">MID(MUNDIAL!R41,1,3)</f>
        <v>Jap</v>
      </c>
      <c r="AW7" s="801">
        <f ca="1">MUNDIAL!S41</f>
        <v>0</v>
      </c>
      <c r="AX7" s="612">
        <f ca="1">MUNDIAL!T41</f>
        <v>3</v>
      </c>
      <c r="AY7" s="602">
        <f ca="1">MUNDIAL!Z41</f>
        <v>-5</v>
      </c>
      <c r="AZ7" s="603">
        <f ca="1">MUNDIAL!X41</f>
        <v>2</v>
      </c>
      <c r="BA7" s="1"/>
    </row>
    <row r="8" spans="1:53" ht="15.75" thickBot="1">
      <c r="A8" s="1"/>
      <c r="B8" s="574"/>
      <c r="C8" s="505" t="str">
        <f ca="1">MID(MUNDIAL!I9,1,3)</f>
        <v>Pai</v>
      </c>
      <c r="D8" s="506">
        <f>MUNDIAL!K9</f>
        <v>0</v>
      </c>
      <c r="E8" s="506">
        <f>MUNDIAL!L9</f>
        <v>3</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2</v>
      </c>
      <c r="AS8" s="621">
        <f>MUNDIAL!L41</f>
        <v>3</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0</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1</v>
      </c>
      <c r="F11" s="552" t="str">
        <f ca="1">MID(MUNDIAL!N13,1,3)</f>
        <v>Gal</v>
      </c>
      <c r="G11" s="1">
        <v>1</v>
      </c>
      <c r="H11" s="734" t="str">
        <f ca="1">MID(MUNDIAL!R14,1,3)</f>
        <v>Ing</v>
      </c>
      <c r="I11" s="794">
        <f ca="1">MUNDIAL!S14</f>
        <v>9</v>
      </c>
      <c r="J11" s="555">
        <f ca="1">MUNDIAL!T14</f>
        <v>3</v>
      </c>
      <c r="K11" s="555">
        <f ca="1">MUNDIAL!Z14</f>
        <v>9</v>
      </c>
      <c r="L11" s="556">
        <f ca="1">MUNDIAL!X14</f>
        <v>9</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Bél</v>
      </c>
      <c r="AW11" s="802">
        <f ca="1">MUNDIAL!S46</f>
        <v>5</v>
      </c>
      <c r="AX11" s="808">
        <f ca="1">MUNDIAL!T46</f>
        <v>3</v>
      </c>
      <c r="AY11" s="629">
        <f ca="1">MUNDIAL!Z46</f>
        <v>1</v>
      </c>
      <c r="AZ11" s="638">
        <f ca="1">MUNDIAL!X46</f>
        <v>4</v>
      </c>
      <c r="BA11" s="1"/>
    </row>
    <row r="12" spans="1:53">
      <c r="A12" s="1"/>
      <c r="B12" s="509"/>
      <c r="C12" s="548" t="str">
        <f ca="1">MID(MUNDIAL!I14,1,3)</f>
        <v>Gal</v>
      </c>
      <c r="D12" s="564">
        <f>MUNDIAL!K14</f>
        <v>1</v>
      </c>
      <c r="E12" s="560">
        <f>MUNDIAL!L14</f>
        <v>0</v>
      </c>
      <c r="F12" s="552" t="str">
        <f ca="1">MID(MUNDIAL!N14,1,3)</f>
        <v>Irá</v>
      </c>
      <c r="G12" s="1">
        <v>2</v>
      </c>
      <c r="H12" s="734" t="str">
        <f ca="1">MID(MUNDIAL!R15,1,3)</f>
        <v>Est</v>
      </c>
      <c r="I12" s="794">
        <f ca="1">MUNDIAL!S15</f>
        <v>6</v>
      </c>
      <c r="J12" s="555">
        <f ca="1">MUNDIAL!T15</f>
        <v>3</v>
      </c>
      <c r="K12" s="555">
        <f ca="1">MUNDIAL!Z15</f>
        <v>1</v>
      </c>
      <c r="L12" s="556">
        <f ca="1">MUNDIAL!X15</f>
        <v>5</v>
      </c>
      <c r="M12" s="1"/>
      <c r="N12" s="748" t="str">
        <f ca="1">MID(MUNDIAL!N70,1,3)</f>
        <v>Aus</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Méx</v>
      </c>
      <c r="AO12" s="1"/>
      <c r="AP12" s="654"/>
      <c r="AQ12" s="639" t="str">
        <f ca="1">MID(MUNDIAL!I46,1,3)</f>
        <v>Bél</v>
      </c>
      <c r="AR12" s="627">
        <f>MUNDIAL!K46</f>
        <v>2</v>
      </c>
      <c r="AS12" s="625">
        <f>MUNDIAL!L46</f>
        <v>2</v>
      </c>
      <c r="AT12" s="623" t="str">
        <f ca="1">MID(MUNDIAL!N46,1,3)</f>
        <v>Mar</v>
      </c>
      <c r="AU12" s="710">
        <v>2</v>
      </c>
      <c r="AV12" s="742" t="str">
        <f ca="1">MID(MUNDIAL!R47,1,3)</f>
        <v>Mar</v>
      </c>
      <c r="AW12" s="803">
        <f ca="1">MUNDIAL!S47</f>
        <v>3</v>
      </c>
      <c r="AX12" s="808">
        <f ca="1">MUNDIAL!T47</f>
        <v>3</v>
      </c>
      <c r="AY12" s="630">
        <f ca="1">MUNDIAL!Z47</f>
        <v>0</v>
      </c>
      <c r="AZ12" s="640">
        <f ca="1">MUNDIAL!X47</f>
        <v>3</v>
      </c>
      <c r="BA12" s="1"/>
    </row>
    <row r="13" spans="1:53">
      <c r="A13" s="1"/>
      <c r="B13" s="509"/>
      <c r="C13" s="549" t="str">
        <f ca="1">MID(MUNDIAL!I15,1,3)</f>
        <v>Ing</v>
      </c>
      <c r="D13" s="565">
        <f>MUNDIAL!K15</f>
        <v>2</v>
      </c>
      <c r="E13" s="561">
        <f>MUNDIAL!L15</f>
        <v>0</v>
      </c>
      <c r="F13" s="553" t="str">
        <f ca="1">MID(MUNDIAL!N15,1,3)</f>
        <v>Est</v>
      </c>
      <c r="G13" s="1">
        <v>3</v>
      </c>
      <c r="H13" s="734" t="str">
        <f ca="1">MID(MUNDIAL!R16,1,3)</f>
        <v>Gal</v>
      </c>
      <c r="I13" s="794">
        <f ca="1">MUNDIAL!S16</f>
        <v>3</v>
      </c>
      <c r="J13" s="555">
        <f ca="1">MUNDIAL!T16</f>
        <v>3</v>
      </c>
      <c r="K13" s="555">
        <f ca="1">MUNDIAL!Z16</f>
        <v>-4</v>
      </c>
      <c r="L13" s="556">
        <f ca="1">MUNDIAL!X16</f>
        <v>2</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1</v>
      </c>
      <c r="AS13" s="625">
        <f>MUNDIAL!L47</f>
        <v>1</v>
      </c>
      <c r="AT13" s="623" t="str">
        <f ca="1">MID(MUNDIAL!N47,1,3)</f>
        <v>Can</v>
      </c>
      <c r="AU13" s="710">
        <v>3</v>
      </c>
      <c r="AV13" s="742" t="str">
        <f ca="1">MID(MUNDIAL!R48,1,3)</f>
        <v>Cro</v>
      </c>
      <c r="AW13" s="803">
        <f ca="1">MUNDIAL!S48</f>
        <v>3</v>
      </c>
      <c r="AX13" s="808">
        <f ca="1">MUNDIAL!T48</f>
        <v>3</v>
      </c>
      <c r="AY13" s="630">
        <f ca="1">MUNDIAL!Z48</f>
        <v>0</v>
      </c>
      <c r="AZ13" s="640">
        <f ca="1">MUNDIAL!X48</f>
        <v>1</v>
      </c>
      <c r="BA13" s="1"/>
    </row>
    <row r="14" spans="1:53">
      <c r="A14" s="1"/>
      <c r="B14" s="509"/>
      <c r="C14" s="549" t="str">
        <f ca="1">MID(MUNDIAL!I16,1,3)</f>
        <v>Gal</v>
      </c>
      <c r="D14" s="565">
        <f>MUNDIAL!K16</f>
        <v>0</v>
      </c>
      <c r="E14" s="561">
        <f>MUNDIAL!L16</f>
        <v>4</v>
      </c>
      <c r="F14" s="553" t="str">
        <f ca="1">MID(MUNDIAL!N16,1,3)</f>
        <v>Ing</v>
      </c>
      <c r="G14" s="1">
        <v>4</v>
      </c>
      <c r="H14" s="735" t="str">
        <f ca="1">MID(MUNDIAL!R17,1,3)</f>
        <v>Irá</v>
      </c>
      <c r="I14" s="795">
        <f ca="1">MUNDIAL!S17</f>
        <v>0</v>
      </c>
      <c r="J14" s="555">
        <f ca="1">MUNDIAL!T17</f>
        <v>3</v>
      </c>
      <c r="K14" s="557">
        <f ca="1">MUNDIAL!Z17</f>
        <v>-6</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0</v>
      </c>
      <c r="AS14" s="626">
        <f>MUNDIAL!L48</f>
        <v>0</v>
      </c>
      <c r="AT14" s="624" t="str">
        <f ca="1">MID(MUNDIAL!N48,1,3)</f>
        <v>Bél</v>
      </c>
      <c r="AU14" s="710">
        <v>4</v>
      </c>
      <c r="AV14" s="741" t="str">
        <f ca="1">MID(MUNDIAL!R49,1,3)</f>
        <v>Can</v>
      </c>
      <c r="AW14" s="802">
        <f ca="1">MUNDIAL!S49</f>
        <v>2</v>
      </c>
      <c r="AX14" s="808">
        <f ca="1">MUNDIAL!T49</f>
        <v>3</v>
      </c>
      <c r="AY14" s="629">
        <f ca="1">MUNDIAL!Z49</f>
        <v>-1</v>
      </c>
      <c r="AZ14" s="638">
        <f ca="1">MUNDIAL!X49</f>
        <v>3</v>
      </c>
      <c r="BA14" s="1"/>
    </row>
    <row r="15" spans="1:53" ht="15.75" thickBot="1">
      <c r="A15" s="1"/>
      <c r="B15" s="576"/>
      <c r="C15" s="550" t="str">
        <f ca="1">MID(MUNDIAL!I17,1,3)</f>
        <v>Irá</v>
      </c>
      <c r="D15" s="566">
        <f>MUNDIAL!K17</f>
        <v>1</v>
      </c>
      <c r="E15" s="562">
        <f>MUNDIAL!L17</f>
        <v>3</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1</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4</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2</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2</v>
      </c>
      <c r="E18" s="544">
        <f>MUNDIAL!L21</f>
        <v>1</v>
      </c>
      <c r="F18" s="545" t="str">
        <f ca="1">MID(MUNDIAL!N21,1,3)</f>
        <v>Pol</v>
      </c>
      <c r="G18" s="704">
        <v>1</v>
      </c>
      <c r="H18" s="736" t="str">
        <f ca="1">MID(MUNDIAL!R22,1,3)</f>
        <v>Arg</v>
      </c>
      <c r="I18" s="796">
        <f ca="1">MUNDIAL!S22</f>
        <v>9</v>
      </c>
      <c r="J18" s="535">
        <f ca="1">MUNDIAL!T22</f>
        <v>3</v>
      </c>
      <c r="K18" s="535">
        <f ca="1">MUNDIAL!Z22</f>
        <v>10</v>
      </c>
      <c r="L18" s="532">
        <f ca="1">MUNDIAL!X22</f>
        <v>11</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4</v>
      </c>
      <c r="AS18" s="675">
        <f>MUNDIAL!L53</f>
        <v>0</v>
      </c>
      <c r="AT18" s="676" t="str">
        <f ca="1">MID(MUNDIAL!N53,1,3)</f>
        <v>Ser</v>
      </c>
      <c r="AU18" s="1">
        <v>1</v>
      </c>
      <c r="AV18" s="743" t="str">
        <f ca="1">MID(MUNDIAL!R54,1,3)</f>
        <v>Bra</v>
      </c>
      <c r="AW18" s="804">
        <f ca="1">MUNDIAL!S54</f>
        <v>9</v>
      </c>
      <c r="AX18" s="809">
        <f ca="1">MUNDIAL!T54</f>
        <v>3</v>
      </c>
      <c r="AY18" s="667">
        <f ca="1">MUNDIAL!Z54</f>
        <v>10</v>
      </c>
      <c r="AZ18" s="668">
        <f ca="1">MUNDIAL!X54</f>
        <v>11</v>
      </c>
      <c r="BA18" s="1"/>
    </row>
    <row r="19" spans="1:53">
      <c r="A19" s="1"/>
      <c r="B19" s="519"/>
      <c r="C19" s="530" t="str">
        <f ca="1">MID(MUNDIAL!I22,1,3)</f>
        <v>Pol</v>
      </c>
      <c r="D19" s="541">
        <f>MUNDIAL!K22</f>
        <v>1</v>
      </c>
      <c r="E19" s="538">
        <f>MUNDIAL!L22</f>
        <v>0</v>
      </c>
      <c r="F19" s="536" t="str">
        <f ca="1">MID(MUNDIAL!N22,1,3)</f>
        <v>Ara</v>
      </c>
      <c r="G19" s="704">
        <v>2</v>
      </c>
      <c r="H19" s="737" t="str">
        <f ca="1">MID(MUNDIAL!R23,1,3)</f>
        <v>Méx</v>
      </c>
      <c r="I19" s="797">
        <f ca="1">MUNDIAL!S23</f>
        <v>4</v>
      </c>
      <c r="J19" s="535">
        <f ca="1">MUNDIAL!T23</f>
        <v>3</v>
      </c>
      <c r="K19" s="533">
        <f ca="1">MUNDIAL!Z23</f>
        <v>-1</v>
      </c>
      <c r="L19" s="532">
        <f ca="1">MUNDIAL!X23</f>
        <v>3</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2</v>
      </c>
      <c r="AS19" s="675">
        <f>MUNDIAL!L54</f>
        <v>1</v>
      </c>
      <c r="AT19" s="676" t="str">
        <f ca="1">MID(MUNDIAL!N54,1,3)</f>
        <v>Ser</v>
      </c>
      <c r="AU19" s="1">
        <v>2</v>
      </c>
      <c r="AV19" s="744" t="str">
        <f ca="1">MID(MUNDIAL!R55,1,3)</f>
        <v>Cam</v>
      </c>
      <c r="AW19" s="805">
        <f ca="1">MUNDIAL!S55</f>
        <v>4</v>
      </c>
      <c r="AX19" s="809">
        <f ca="1">MUNDIAL!T55</f>
        <v>3</v>
      </c>
      <c r="AY19" s="669">
        <f ca="1">MUNDIAL!Z55</f>
        <v>-3</v>
      </c>
      <c r="AZ19" s="670">
        <f ca="1">MUNDIAL!X55</f>
        <v>4</v>
      </c>
      <c r="BA19" s="1"/>
    </row>
    <row r="20" spans="1:53">
      <c r="A20" s="1"/>
      <c r="B20" s="519"/>
      <c r="C20" s="530" t="str">
        <f ca="1">MID(MUNDIAL!I23,1,3)</f>
        <v>Arg</v>
      </c>
      <c r="D20" s="541">
        <f>MUNDIAL!K23</f>
        <v>3</v>
      </c>
      <c r="E20" s="538">
        <f>MUNDIAL!L23</f>
        <v>1</v>
      </c>
      <c r="F20" s="536" t="str">
        <f ca="1">MID(MUNDIAL!N23,1,3)</f>
        <v>Méx</v>
      </c>
      <c r="G20" s="704">
        <v>3</v>
      </c>
      <c r="H20" s="737" t="str">
        <f ca="1">MID(MUNDIAL!R24,1,3)</f>
        <v>Pol</v>
      </c>
      <c r="I20" s="797">
        <f ca="1">MUNDIAL!S24</f>
        <v>3</v>
      </c>
      <c r="J20" s="535">
        <f ca="1">MUNDIAL!T24</f>
        <v>3</v>
      </c>
      <c r="K20" s="533">
        <f ca="1">MUNDIAL!Z24</f>
        <v>-4</v>
      </c>
      <c r="L20" s="532">
        <f ca="1">MUNDIAL!X24</f>
        <v>2</v>
      </c>
      <c r="M20" s="1"/>
      <c r="N20" s="748" t="str">
        <f ca="1">MID(MUNDIAL!N73,1,3)</f>
        <v>Mar</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Cos</v>
      </c>
      <c r="AO20" s="1"/>
      <c r="AP20" s="660"/>
      <c r="AQ20" s="674" t="str">
        <f ca="1">MID(MUNDIAL!I55,1,3)</f>
        <v>Bra</v>
      </c>
      <c r="AR20" s="675">
        <f>MUNDIAL!K55</f>
        <v>3</v>
      </c>
      <c r="AS20" s="675">
        <f>MUNDIAL!L55</f>
        <v>1</v>
      </c>
      <c r="AT20" s="676" t="str">
        <f ca="1">MID(MUNDIAL!N55,1,3)</f>
        <v>Sui</v>
      </c>
      <c r="AU20" s="1">
        <v>3</v>
      </c>
      <c r="AV20" s="744" t="str">
        <f ca="1">MID(MUNDIAL!R56,1,3)</f>
        <v>Sui</v>
      </c>
      <c r="AW20" s="805">
        <f ca="1">MUNDIAL!S56</f>
        <v>2</v>
      </c>
      <c r="AX20" s="809">
        <f ca="1">MUNDIAL!T56</f>
        <v>3</v>
      </c>
      <c r="AY20" s="669">
        <f ca="1">MUNDIAL!Z56</f>
        <v>-2</v>
      </c>
      <c r="AZ20" s="670">
        <f ca="1">MUNDIAL!X56</f>
        <v>3</v>
      </c>
      <c r="BA20" s="1"/>
    </row>
    <row r="21" spans="1:53">
      <c r="A21" s="1"/>
      <c r="B21" s="519"/>
      <c r="C21" s="530" t="str">
        <f ca="1">MID(MUNDIAL!I24,1,3)</f>
        <v>Pol</v>
      </c>
      <c r="D21" s="541">
        <f>MUNDIAL!K24</f>
        <v>0</v>
      </c>
      <c r="E21" s="538">
        <f>MUNDIAL!L24</f>
        <v>4</v>
      </c>
      <c r="F21" s="536" t="str">
        <f ca="1">MID(MUNDIAL!N24,1,3)</f>
        <v>Arg</v>
      </c>
      <c r="G21" s="704">
        <v>4</v>
      </c>
      <c r="H21" s="737" t="str">
        <f ca="1">MID(MUNDIAL!R25,1,3)</f>
        <v>Ara</v>
      </c>
      <c r="I21" s="797">
        <f ca="1">MUNDIAL!S25</f>
        <v>1</v>
      </c>
      <c r="J21" s="535">
        <f ca="1">MUNDIAL!T25</f>
        <v>3</v>
      </c>
      <c r="K21" s="533">
        <f ca="1">MUNDIAL!Z25</f>
        <v>-5</v>
      </c>
      <c r="L21" s="532">
        <f ca="1">MUNDIAL!X25</f>
        <v>0</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0</v>
      </c>
      <c r="AS21" s="675">
        <f>MUNDIAL!L56</f>
        <v>0</v>
      </c>
      <c r="AT21" s="676" t="str">
        <f ca="1">MID(MUNDIAL!N56,1,3)</f>
        <v>Sui</v>
      </c>
      <c r="AU21" s="1">
        <v>4</v>
      </c>
      <c r="AV21" s="745" t="str">
        <f ca="1">MID(MUNDIAL!R57,1,3)</f>
        <v>Ser</v>
      </c>
      <c r="AW21" s="806">
        <f ca="1">MUNDIAL!S57</f>
        <v>1</v>
      </c>
      <c r="AX21" s="809">
        <f ca="1">MUNDIAL!T57</f>
        <v>3</v>
      </c>
      <c r="AY21" s="665">
        <f ca="1">MUNDIAL!Z57</f>
        <v>-5</v>
      </c>
      <c r="AZ21" s="666">
        <f ca="1">MUNDIAL!X57</f>
        <v>1</v>
      </c>
      <c r="BA21" s="1"/>
    </row>
    <row r="22" spans="1:53" ht="15.75" thickBot="1">
      <c r="A22" s="1"/>
      <c r="B22" s="511"/>
      <c r="C22" s="529" t="str">
        <f ca="1">MID(MUNDIAL!I25,1,3)</f>
        <v>Ara</v>
      </c>
      <c r="D22" s="542">
        <f>MUNDIAL!K25</f>
        <v>0</v>
      </c>
      <c r="E22" s="539">
        <f>MUNDIAL!L25</f>
        <v>0</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0</v>
      </c>
      <c r="AS22" s="672">
        <f>MUNDIAL!L57</f>
        <v>4</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1</v>
      </c>
      <c r="E24" s="521">
        <f>MUNDIAL!L28</f>
        <v>1</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4</v>
      </c>
      <c r="E25" s="517">
        <f>MUNDIAL!L29</f>
        <v>0</v>
      </c>
      <c r="F25" s="518" t="str">
        <f ca="1">MID(MUNDIAL!N29,1,3)</f>
        <v>Aus</v>
      </c>
      <c r="G25" s="1">
        <v>1</v>
      </c>
      <c r="H25" s="738" t="str">
        <f ca="1">MID(MUNDIAL!R30,1,3)</f>
        <v>Fra</v>
      </c>
      <c r="I25" s="798">
        <f ca="1">MUNDIAL!S30</f>
        <v>9</v>
      </c>
      <c r="J25" s="516">
        <f ca="1">MUNDIAL!T30</f>
        <v>3</v>
      </c>
      <c r="K25" s="516">
        <f ca="1">MUNDIAL!Z30</f>
        <v>9</v>
      </c>
      <c r="L25" s="524">
        <f ca="1">MUNDIAL!X30</f>
        <v>11</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3</v>
      </c>
      <c r="AS25" s="681">
        <f>MUNDIAL!L61</f>
        <v>1</v>
      </c>
      <c r="AT25" s="682" t="str">
        <f ca="1">MID(MUNDIAL!N61,1,3)</f>
        <v>Gha</v>
      </c>
      <c r="AU25" s="715">
        <v>1</v>
      </c>
      <c r="AV25" s="746" t="str">
        <f ca="1">MID(MUNDIAL!R62,1,3)</f>
        <v>Por</v>
      </c>
      <c r="AW25" s="807">
        <f ca="1">MUNDIAL!S62</f>
        <v>9</v>
      </c>
      <c r="AX25" s="680">
        <f ca="1">MUNDIAL!T62</f>
        <v>3</v>
      </c>
      <c r="AY25" s="680">
        <f ca="1">MUNDIAL!Z62</f>
        <v>5</v>
      </c>
      <c r="AZ25" s="690">
        <f ca="1">MUNDIAL!X62</f>
        <v>8</v>
      </c>
      <c r="BA25" s="1"/>
    </row>
    <row r="26" spans="1:53">
      <c r="A26" s="1"/>
      <c r="B26" s="513"/>
      <c r="C26" s="523" t="str">
        <f ca="1">MID(MUNDIAL!I30,1,3)</f>
        <v>Tún</v>
      </c>
      <c r="D26" s="517">
        <f>MUNDIAL!K30</f>
        <v>0</v>
      </c>
      <c r="E26" s="517">
        <f>MUNDIAL!L30</f>
        <v>1</v>
      </c>
      <c r="F26" s="518" t="str">
        <f ca="1">MID(MUNDIAL!N30,1,3)</f>
        <v>Aus</v>
      </c>
      <c r="G26" s="1">
        <v>2</v>
      </c>
      <c r="H26" s="738" t="str">
        <f ca="1">MID(MUNDIAL!R31,1,3)</f>
        <v>Aus</v>
      </c>
      <c r="I26" s="798">
        <f ca="1">MUNDIAL!S31</f>
        <v>4</v>
      </c>
      <c r="J26" s="516">
        <f ca="1">MUNDIAL!T31</f>
        <v>3</v>
      </c>
      <c r="K26" s="516">
        <f ca="1">MUNDIAL!Z31</f>
        <v>-3</v>
      </c>
      <c r="L26" s="524">
        <f ca="1">MUNDIAL!X31</f>
        <v>1</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Cam</v>
      </c>
      <c r="AO26" s="1"/>
      <c r="AP26" s="697"/>
      <c r="AQ26" s="689" t="str">
        <f ca="1">MID(MUNDIAL!I62,1,3)</f>
        <v>Cor</v>
      </c>
      <c r="AR26" s="681">
        <f>MUNDIAL!K62</f>
        <v>2</v>
      </c>
      <c r="AS26" s="681">
        <f>MUNDIAL!L62</f>
        <v>1</v>
      </c>
      <c r="AT26" s="682" t="str">
        <f ca="1">MID(MUNDIAL!N62,1,3)</f>
        <v>Gha</v>
      </c>
      <c r="AU26" s="715">
        <v>2</v>
      </c>
      <c r="AV26" s="746" t="str">
        <f ca="1">MID(MUNDIAL!R63,1,3)</f>
        <v>Uru</v>
      </c>
      <c r="AW26" s="807">
        <f ca="1">MUNDIAL!S63</f>
        <v>6</v>
      </c>
      <c r="AX26" s="680">
        <f ca="1">MUNDIAL!T63</f>
        <v>3</v>
      </c>
      <c r="AY26" s="680">
        <f ca="1">MUNDIAL!Z63</f>
        <v>2</v>
      </c>
      <c r="AZ26" s="690">
        <f ca="1">MUNDIAL!X63</f>
        <v>5</v>
      </c>
      <c r="BA26" s="1"/>
    </row>
    <row r="27" spans="1:53">
      <c r="A27" s="1"/>
      <c r="B27" s="514"/>
      <c r="C27" s="523" t="str">
        <f ca="1">MID(MUNDIAL!I31,1,3)</f>
        <v>Fra</v>
      </c>
      <c r="D27" s="517">
        <f>MUNDIAL!K31</f>
        <v>3</v>
      </c>
      <c r="E27" s="517">
        <f>MUNDIAL!L31</f>
        <v>1</v>
      </c>
      <c r="F27" s="518" t="str">
        <f ca="1">MID(MUNDIAL!N31,1,3)</f>
        <v>Din</v>
      </c>
      <c r="G27" s="1">
        <v>3</v>
      </c>
      <c r="H27" s="738" t="str">
        <f ca="1">MID(MUNDIAL!R32,1,3)</f>
        <v>Din</v>
      </c>
      <c r="I27" s="798">
        <f ca="1">MUNDIAL!S32</f>
        <v>2</v>
      </c>
      <c r="J27" s="516">
        <f ca="1">MUNDIAL!T32</f>
        <v>3</v>
      </c>
      <c r="K27" s="516">
        <f ca="1">MUNDIAL!Z32</f>
        <v>-2</v>
      </c>
      <c r="L27" s="524">
        <f ca="1">MUNDIAL!X32</f>
        <v>2</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1</v>
      </c>
      <c r="AT27" s="682" t="str">
        <f ca="1">MID(MUNDIAL!N63,1,3)</f>
        <v>Uru</v>
      </c>
      <c r="AU27" s="715">
        <v>3</v>
      </c>
      <c r="AV27" s="746" t="str">
        <f ca="1">MID(MUNDIAL!R64,1,3)</f>
        <v>Cor</v>
      </c>
      <c r="AW27" s="807">
        <f ca="1">MUNDIAL!S64</f>
        <v>3</v>
      </c>
      <c r="AX27" s="680">
        <f ca="1">MUNDIAL!T64</f>
        <v>3</v>
      </c>
      <c r="AY27" s="680">
        <f ca="1">MUNDIAL!Z64</f>
        <v>-2</v>
      </c>
      <c r="AZ27" s="690">
        <f ca="1">MUNDIAL!X64</f>
        <v>4</v>
      </c>
      <c r="BA27" s="1"/>
    </row>
    <row r="28" spans="1:53">
      <c r="A28" s="1"/>
      <c r="B28" s="514"/>
      <c r="C28" s="523" t="str">
        <f ca="1">MID(MUNDIAL!I32,1,3)</f>
        <v>Aus</v>
      </c>
      <c r="D28" s="517">
        <f>MUNDIAL!K32</f>
        <v>0</v>
      </c>
      <c r="E28" s="517">
        <f>MUNDIAL!L32</f>
        <v>0</v>
      </c>
      <c r="F28" s="518" t="str">
        <f ca="1">MID(MUNDIAL!N32,1,3)</f>
        <v>Din</v>
      </c>
      <c r="G28" s="1">
        <v>4</v>
      </c>
      <c r="H28" s="738" t="str">
        <f ca="1">MID(MUNDIAL!R33,1,3)</f>
        <v>Tún</v>
      </c>
      <c r="I28" s="798">
        <f ca="1">MUNDIAL!S33</f>
        <v>1</v>
      </c>
      <c r="J28" s="516">
        <f ca="1">MUNDIAL!T33</f>
        <v>3</v>
      </c>
      <c r="K28" s="516">
        <f ca="1">MUNDIAL!Z33</f>
        <v>-4</v>
      </c>
      <c r="L28" s="524">
        <f ca="1">MUNDIAL!X33</f>
        <v>2</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0</v>
      </c>
      <c r="AS28" s="681">
        <f>MUNDIAL!L64</f>
        <v>2</v>
      </c>
      <c r="AT28" s="682" t="str">
        <f ca="1">MID(MUNDIAL!N64,1,3)</f>
        <v>Uru</v>
      </c>
      <c r="AU28" s="715">
        <v>4</v>
      </c>
      <c r="AV28" s="746" t="str">
        <f ca="1">MID(MUNDIAL!R65,1,3)</f>
        <v>Gha</v>
      </c>
      <c r="AW28" s="807">
        <f ca="1">MUNDIAL!S65</f>
        <v>0</v>
      </c>
      <c r="AX28" s="680">
        <f ca="1">MUNDIAL!T65</f>
        <v>3</v>
      </c>
      <c r="AY28" s="680">
        <f ca="1">MUNDIAL!Z65</f>
        <v>-5</v>
      </c>
      <c r="AZ28" s="690">
        <f ca="1">MUNDIAL!X65</f>
        <v>2</v>
      </c>
      <c r="BA28" s="1"/>
    </row>
    <row r="29" spans="1:53" ht="15.75" thickBot="1">
      <c r="A29" s="1"/>
      <c r="B29" s="515"/>
      <c r="C29" s="525" t="str">
        <f ca="1">MID(MUNDIAL!I33,1,3)</f>
        <v>Tún</v>
      </c>
      <c r="D29" s="526">
        <f>MUNDIAL!K33</f>
        <v>1</v>
      </c>
      <c r="E29" s="526">
        <f>MUNDIAL!L33</f>
        <v>4</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3</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Aaron Sagastume</cp:lastModifiedBy>
  <cp:lastPrinted>2018-12-06T18:06:35Z</cp:lastPrinted>
  <dcterms:created xsi:type="dcterms:W3CDTF">2015-10-31T09:41:54Z</dcterms:created>
  <dcterms:modified xsi:type="dcterms:W3CDTF">2022-11-20T13:00:43Z</dcterms:modified>
</cp:coreProperties>
</file>