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Sheet1!$A$1:$BI$1</definedName>
  </definedNames>
  <calcPr calcId="152511"/>
</workbook>
</file>

<file path=xl/calcChain.xml><?xml version="1.0" encoding="utf-8"?>
<calcChain xmlns="http://schemas.openxmlformats.org/spreadsheetml/2006/main">
  <c r="N29" i="1" l="1"/>
  <c r="N28" i="1"/>
  <c r="N27" i="1"/>
  <c r="N26" i="1"/>
  <c r="N25" i="1"/>
  <c r="O25" i="1" s="1"/>
  <c r="N24" i="1"/>
  <c r="N23" i="1"/>
  <c r="O23" i="1" s="1"/>
  <c r="N22" i="1"/>
  <c r="N21" i="1"/>
  <c r="N20" i="1"/>
  <c r="N19" i="1"/>
  <c r="N18" i="1"/>
  <c r="N17" i="1"/>
  <c r="O17" i="1" s="1"/>
  <c r="N16" i="1"/>
  <c r="N15" i="1"/>
  <c r="O15" i="1" s="1"/>
  <c r="N14" i="1"/>
  <c r="N13" i="1"/>
  <c r="N12" i="1"/>
  <c r="N11" i="1"/>
  <c r="N10" i="1"/>
  <c r="N9" i="1"/>
  <c r="O9" i="1" s="1"/>
  <c r="AV29" i="1"/>
  <c r="AS29" i="1"/>
  <c r="AT29" i="1" s="1"/>
  <c r="AM29" i="1"/>
  <c r="AN29" i="1" s="1"/>
  <c r="AJ29" i="1"/>
  <c r="AI29" i="1"/>
  <c r="AD29" i="1"/>
  <c r="AC29" i="1"/>
  <c r="T29" i="1"/>
  <c r="U29" i="1" s="1"/>
  <c r="AV28" i="1"/>
  <c r="AS28" i="1" s="1"/>
  <c r="AT28" i="1" s="1"/>
  <c r="AM28" i="1"/>
  <c r="AN28" i="1" s="1"/>
  <c r="AJ28" i="1"/>
  <c r="AI28" i="1"/>
  <c r="AD28" i="1"/>
  <c r="AC28" i="1"/>
  <c r="T28" i="1"/>
  <c r="U28" i="1" s="1"/>
  <c r="L28" i="1"/>
  <c r="O28" i="1" s="1"/>
  <c r="AV27" i="1"/>
  <c r="AS27" i="1"/>
  <c r="AT27" i="1" s="1"/>
  <c r="AM27" i="1"/>
  <c r="AN27" i="1" s="1"/>
  <c r="AJ27" i="1"/>
  <c r="AI27" i="1"/>
  <c r="AD27" i="1"/>
  <c r="AC27" i="1"/>
  <c r="T27" i="1"/>
  <c r="U27" i="1" s="1"/>
  <c r="O27" i="1"/>
  <c r="L27" i="1"/>
  <c r="P27" i="1" s="1"/>
  <c r="AV26" i="1"/>
  <c r="AM26" i="1"/>
  <c r="AN26" i="1" s="1"/>
  <c r="AJ26" i="1"/>
  <c r="AI26" i="1"/>
  <c r="AD26" i="1"/>
  <c r="AC26" i="1"/>
  <c r="T26" i="1"/>
  <c r="U26" i="1" s="1"/>
  <c r="L26" i="1"/>
  <c r="O26" i="1" s="1"/>
  <c r="AV25" i="1"/>
  <c r="AS25" i="1"/>
  <c r="AT25" i="1" s="1"/>
  <c r="AM25" i="1"/>
  <c r="AN25" i="1" s="1"/>
  <c r="AJ25" i="1"/>
  <c r="AI25" i="1"/>
  <c r="AD25" i="1"/>
  <c r="AC25" i="1"/>
  <c r="T25" i="1"/>
  <c r="U25" i="1" s="1"/>
  <c r="L25" i="1"/>
  <c r="P25" i="1" s="1"/>
  <c r="AV24" i="1"/>
  <c r="AS24" i="1" s="1"/>
  <c r="AT24" i="1" s="1"/>
  <c r="AM24" i="1"/>
  <c r="AN24" i="1" s="1"/>
  <c r="AJ24" i="1"/>
  <c r="AI24" i="1"/>
  <c r="AD24" i="1"/>
  <c r="AC24" i="1"/>
  <c r="T24" i="1"/>
  <c r="U24" i="1" s="1"/>
  <c r="L24" i="1"/>
  <c r="P24" i="1" s="1"/>
  <c r="AV23" i="1"/>
  <c r="AS23" i="1"/>
  <c r="AT23" i="1" s="1"/>
  <c r="AM23" i="1"/>
  <c r="AN23" i="1" s="1"/>
  <c r="AJ23" i="1"/>
  <c r="AI23" i="1"/>
  <c r="AD23" i="1"/>
  <c r="AC23" i="1"/>
  <c r="T23" i="1"/>
  <c r="U23" i="1" s="1"/>
  <c r="L23" i="1"/>
  <c r="P23" i="1" s="1"/>
  <c r="AV22" i="1"/>
  <c r="AS22" i="1" s="1"/>
  <c r="AT22" i="1" s="1"/>
  <c r="AM22" i="1"/>
  <c r="AN22" i="1" s="1"/>
  <c r="AJ22" i="1"/>
  <c r="AI22" i="1"/>
  <c r="AD22" i="1"/>
  <c r="AC22" i="1"/>
  <c r="T22" i="1"/>
  <c r="U22" i="1" s="1"/>
  <c r="L22" i="1"/>
  <c r="P22" i="1" s="1"/>
  <c r="AV21" i="1"/>
  <c r="AS21" i="1"/>
  <c r="AT21" i="1" s="1"/>
  <c r="AM21" i="1"/>
  <c r="AN21" i="1" s="1"/>
  <c r="AJ21" i="1"/>
  <c r="AI21" i="1"/>
  <c r="AD21" i="1"/>
  <c r="AC21" i="1"/>
  <c r="T21" i="1"/>
  <c r="U21" i="1" s="1"/>
  <c r="O21" i="1"/>
  <c r="L21" i="1"/>
  <c r="P21" i="1" s="1"/>
  <c r="AV20" i="1"/>
  <c r="AS20" i="1" s="1"/>
  <c r="AT20" i="1" s="1"/>
  <c r="AM20" i="1"/>
  <c r="AN20" i="1" s="1"/>
  <c r="AJ20" i="1"/>
  <c r="AI20" i="1"/>
  <c r="AD20" i="1"/>
  <c r="AC20" i="1"/>
  <c r="T20" i="1"/>
  <c r="U20" i="1" s="1"/>
  <c r="L20" i="1"/>
  <c r="P20" i="1" s="1"/>
  <c r="AV19" i="1"/>
  <c r="AS19" i="1"/>
  <c r="AT19" i="1" s="1"/>
  <c r="AM19" i="1"/>
  <c r="AN19" i="1" s="1"/>
  <c r="AJ19" i="1"/>
  <c r="AI19" i="1"/>
  <c r="AD19" i="1"/>
  <c r="AC19" i="1"/>
  <c r="T19" i="1"/>
  <c r="U19" i="1" s="1"/>
  <c r="O19" i="1"/>
  <c r="L19" i="1"/>
  <c r="P19" i="1" s="1"/>
  <c r="AV18" i="1"/>
  <c r="AS18" i="1" s="1"/>
  <c r="AT18" i="1" s="1"/>
  <c r="AM18" i="1"/>
  <c r="AN18" i="1" s="1"/>
  <c r="AJ18" i="1"/>
  <c r="AI18" i="1"/>
  <c r="AD18" i="1"/>
  <c r="AC18" i="1"/>
  <c r="T18" i="1"/>
  <c r="U18" i="1" s="1"/>
  <c r="L18" i="1"/>
  <c r="P18" i="1" s="1"/>
  <c r="AV17" i="1"/>
  <c r="AS17" i="1"/>
  <c r="AT17" i="1" s="1"/>
  <c r="AM17" i="1"/>
  <c r="AN17" i="1" s="1"/>
  <c r="AJ17" i="1"/>
  <c r="AI17" i="1"/>
  <c r="AD17" i="1"/>
  <c r="AC17" i="1"/>
  <c r="T17" i="1"/>
  <c r="U17" i="1" s="1"/>
  <c r="L17" i="1"/>
  <c r="P17" i="1" s="1"/>
  <c r="AV16" i="1"/>
  <c r="AS16" i="1" s="1"/>
  <c r="AT16" i="1" s="1"/>
  <c r="AM16" i="1"/>
  <c r="AN16" i="1" s="1"/>
  <c r="AJ16" i="1"/>
  <c r="AI16" i="1"/>
  <c r="AD16" i="1"/>
  <c r="AC16" i="1"/>
  <c r="T16" i="1"/>
  <c r="U16" i="1" s="1"/>
  <c r="L16" i="1"/>
  <c r="AV15" i="1"/>
  <c r="AS15" i="1"/>
  <c r="AT15" i="1" s="1"/>
  <c r="AM15" i="1"/>
  <c r="AN15" i="1" s="1"/>
  <c r="AJ15" i="1"/>
  <c r="AI15" i="1"/>
  <c r="AD15" i="1"/>
  <c r="AC15" i="1"/>
  <c r="T15" i="1"/>
  <c r="U15" i="1" s="1"/>
  <c r="L15" i="1"/>
  <c r="P15" i="1" s="1"/>
  <c r="AV14" i="1"/>
  <c r="AS14" i="1" s="1"/>
  <c r="AT14" i="1" s="1"/>
  <c r="AM14" i="1"/>
  <c r="AN14" i="1" s="1"/>
  <c r="AJ14" i="1"/>
  <c r="AI14" i="1"/>
  <c r="AD14" i="1"/>
  <c r="AC14" i="1"/>
  <c r="T14" i="1"/>
  <c r="U14" i="1" s="1"/>
  <c r="L14" i="1"/>
  <c r="P14" i="1" s="1"/>
  <c r="AV13" i="1"/>
  <c r="AS13" i="1"/>
  <c r="AT13" i="1" s="1"/>
  <c r="AM13" i="1"/>
  <c r="AN13" i="1" s="1"/>
  <c r="AJ13" i="1"/>
  <c r="AI13" i="1"/>
  <c r="AD13" i="1"/>
  <c r="AC13" i="1"/>
  <c r="T13" i="1"/>
  <c r="U13" i="1" s="1"/>
  <c r="O13" i="1"/>
  <c r="L13" i="1"/>
  <c r="P13" i="1" s="1"/>
  <c r="AV12" i="1"/>
  <c r="AS12" i="1" s="1"/>
  <c r="AT12" i="1" s="1"/>
  <c r="AM12" i="1"/>
  <c r="AN12" i="1" s="1"/>
  <c r="AJ12" i="1"/>
  <c r="AI12" i="1"/>
  <c r="AD12" i="1"/>
  <c r="AC12" i="1"/>
  <c r="T12" i="1"/>
  <c r="U12" i="1" s="1"/>
  <c r="L12" i="1"/>
  <c r="P12" i="1" s="1"/>
  <c r="AV11" i="1"/>
  <c r="AS11" i="1"/>
  <c r="AT11" i="1" s="1"/>
  <c r="AM11" i="1"/>
  <c r="AN11" i="1" s="1"/>
  <c r="AJ11" i="1"/>
  <c r="AI11" i="1"/>
  <c r="AD11" i="1"/>
  <c r="AC11" i="1"/>
  <c r="T11" i="1"/>
  <c r="U11" i="1" s="1"/>
  <c r="O11" i="1"/>
  <c r="L11" i="1"/>
  <c r="P11" i="1" s="1"/>
  <c r="AV10" i="1"/>
  <c r="AS10" i="1" s="1"/>
  <c r="AT10" i="1" s="1"/>
  <c r="AM10" i="1"/>
  <c r="AN10" i="1" s="1"/>
  <c r="AJ10" i="1"/>
  <c r="AI10" i="1"/>
  <c r="AD10" i="1"/>
  <c r="AC10" i="1"/>
  <c r="T10" i="1"/>
  <c r="U10" i="1" s="1"/>
  <c r="L10" i="1"/>
  <c r="O10" i="1" s="1"/>
  <c r="AV9" i="1"/>
  <c r="AS9" i="1"/>
  <c r="AT9" i="1" s="1"/>
  <c r="AM9" i="1"/>
  <c r="AN9" i="1" s="1"/>
  <c r="AJ9" i="1"/>
  <c r="AI9" i="1"/>
  <c r="AD9" i="1"/>
  <c r="AC9" i="1"/>
  <c r="T9" i="1"/>
  <c r="U9" i="1" s="1"/>
  <c r="L9" i="1"/>
  <c r="P9" i="1" s="1"/>
  <c r="O16" i="1" l="1"/>
  <c r="V12" i="1"/>
  <c r="R12" i="1"/>
  <c r="R13" i="1"/>
  <c r="V13" i="1"/>
  <c r="V20" i="1"/>
  <c r="R20" i="1"/>
  <c r="R21" i="1"/>
  <c r="V21" i="1"/>
  <c r="V14" i="1"/>
  <c r="R14" i="1"/>
  <c r="V22" i="1"/>
  <c r="R22" i="1"/>
  <c r="R23" i="1"/>
  <c r="V23" i="1"/>
  <c r="V24" i="1"/>
  <c r="R24" i="1"/>
  <c r="R9" i="1"/>
  <c r="V9" i="1"/>
  <c r="V17" i="1"/>
  <c r="R17" i="1"/>
  <c r="R25" i="1"/>
  <c r="V25" i="1"/>
  <c r="R15" i="1"/>
  <c r="V15" i="1"/>
  <c r="R11" i="1"/>
  <c r="V11" i="1"/>
  <c r="V18" i="1"/>
  <c r="R18" i="1"/>
  <c r="R19" i="1"/>
  <c r="V19" i="1"/>
  <c r="R27" i="1"/>
  <c r="V27" i="1"/>
  <c r="O20" i="1"/>
  <c r="O22" i="1"/>
  <c r="O24" i="1"/>
  <c r="O12" i="1"/>
  <c r="O14" i="1"/>
  <c r="O18" i="1"/>
  <c r="P10" i="1"/>
  <c r="P16" i="1"/>
  <c r="P26" i="1"/>
  <c r="P28" i="1"/>
  <c r="AS26" i="1"/>
  <c r="AT26" i="1" s="1"/>
  <c r="Y19" i="1" l="1"/>
  <c r="AA19" i="1" s="1"/>
  <c r="X19" i="1"/>
  <c r="AE19" i="1"/>
  <c r="Y21" i="1"/>
  <c r="AA21" i="1" s="1"/>
  <c r="X21" i="1"/>
  <c r="AE21" i="1"/>
  <c r="V26" i="1"/>
  <c r="R26" i="1"/>
  <c r="Y25" i="1"/>
  <c r="AA25" i="1" s="1"/>
  <c r="X25" i="1"/>
  <c r="AE25" i="1"/>
  <c r="AE24" i="1"/>
  <c r="Y24" i="1"/>
  <c r="AA24" i="1" s="1"/>
  <c r="X24" i="1"/>
  <c r="V16" i="1"/>
  <c r="R16" i="1"/>
  <c r="X18" i="1"/>
  <c r="AE18" i="1"/>
  <c r="Y18" i="1"/>
  <c r="AA18" i="1" s="1"/>
  <c r="AE20" i="1"/>
  <c r="Y20" i="1"/>
  <c r="AA20" i="1" s="1"/>
  <c r="X20" i="1"/>
  <c r="V28" i="1"/>
  <c r="R28" i="1"/>
  <c r="Y17" i="1"/>
  <c r="AA17" i="1" s="1"/>
  <c r="X17" i="1"/>
  <c r="AE17" i="1"/>
  <c r="AE13" i="1"/>
  <c r="Y13" i="1"/>
  <c r="AA13" i="1" s="1"/>
  <c r="X13" i="1"/>
  <c r="Y23" i="1"/>
  <c r="AA23" i="1" s="1"/>
  <c r="X23" i="1"/>
  <c r="AE23" i="1"/>
  <c r="Y9" i="1"/>
  <c r="AA9" i="1" s="1"/>
  <c r="AE9" i="1"/>
  <c r="X9" i="1"/>
  <c r="AE22" i="1"/>
  <c r="X22" i="1"/>
  <c r="Y22" i="1"/>
  <c r="AA22" i="1" s="1"/>
  <c r="Y27" i="1"/>
  <c r="AA27" i="1" s="1"/>
  <c r="AE27" i="1"/>
  <c r="X27" i="1"/>
  <c r="Y15" i="1"/>
  <c r="AA15" i="1" s="1"/>
  <c r="AE15" i="1"/>
  <c r="X15" i="1"/>
  <c r="V10" i="1"/>
  <c r="R10" i="1"/>
  <c r="Y11" i="1"/>
  <c r="AA11" i="1" s="1"/>
  <c r="AE11" i="1"/>
  <c r="X11" i="1"/>
  <c r="L29" i="1"/>
  <c r="X14" i="1"/>
  <c r="AE14" i="1"/>
  <c r="Y14" i="1"/>
  <c r="AA14" i="1" s="1"/>
  <c r="Y12" i="1"/>
  <c r="AA12" i="1" s="1"/>
  <c r="AE12" i="1"/>
  <c r="X12" i="1"/>
  <c r="AG12" i="1" l="1"/>
  <c r="AO12" i="1"/>
  <c r="AE28" i="1"/>
  <c r="Y28" i="1"/>
  <c r="AA28" i="1" s="1"/>
  <c r="X28" i="1"/>
  <c r="X10" i="1"/>
  <c r="AE10" i="1"/>
  <c r="Y10" i="1"/>
  <c r="AA10" i="1" s="1"/>
  <c r="AO21" i="1"/>
  <c r="AG21" i="1"/>
  <c r="AG14" i="1"/>
  <c r="AO14" i="1"/>
  <c r="AG22" i="1"/>
  <c r="AO22" i="1"/>
  <c r="Y16" i="1"/>
  <c r="AA16" i="1" s="1"/>
  <c r="AE16" i="1"/>
  <c r="X16" i="1"/>
  <c r="P29" i="1"/>
  <c r="O29" i="1"/>
  <c r="AO9" i="1"/>
  <c r="AG9" i="1"/>
  <c r="AO17" i="1"/>
  <c r="AG17" i="1"/>
  <c r="AO25" i="1"/>
  <c r="AG25" i="1"/>
  <c r="AO19" i="1"/>
  <c r="AG19" i="1"/>
  <c r="AG24" i="1"/>
  <c r="AO24" i="1"/>
  <c r="AG18" i="1"/>
  <c r="AO18" i="1"/>
  <c r="AE26" i="1"/>
  <c r="X26" i="1"/>
  <c r="Y26" i="1"/>
  <c r="AA26" i="1" s="1"/>
  <c r="AO15" i="1"/>
  <c r="AG15" i="1"/>
  <c r="AO13" i="1"/>
  <c r="AG13" i="1"/>
  <c r="AG20" i="1"/>
  <c r="AO20" i="1"/>
  <c r="AO11" i="1"/>
  <c r="AG11" i="1"/>
  <c r="AO27" i="1"/>
  <c r="AG27" i="1"/>
  <c r="AO23" i="1"/>
  <c r="AG23" i="1"/>
  <c r="AQ11" i="1" l="1"/>
  <c r="AU11" i="1"/>
  <c r="AU21" i="1"/>
  <c r="AQ21" i="1"/>
  <c r="AU20" i="1"/>
  <c r="AQ20" i="1"/>
  <c r="AG26" i="1"/>
  <c r="AO26" i="1"/>
  <c r="AQ25" i="1"/>
  <c r="AU25" i="1"/>
  <c r="AG16" i="1"/>
  <c r="AO16" i="1"/>
  <c r="AU18" i="1"/>
  <c r="AQ18" i="1"/>
  <c r="AG10" i="1"/>
  <c r="AO10" i="1"/>
  <c r="AQ17" i="1"/>
  <c r="AU17" i="1"/>
  <c r="AU22" i="1"/>
  <c r="AQ22" i="1"/>
  <c r="AU13" i="1"/>
  <c r="AQ13" i="1"/>
  <c r="AU14" i="1"/>
  <c r="AQ14" i="1"/>
  <c r="AQ27" i="1"/>
  <c r="AU27" i="1"/>
  <c r="AQ15" i="1"/>
  <c r="AU15" i="1"/>
  <c r="AG28" i="1"/>
  <c r="AO28" i="1"/>
  <c r="AQ23" i="1"/>
  <c r="AU23" i="1"/>
  <c r="AU24" i="1"/>
  <c r="AQ24" i="1"/>
  <c r="AU9" i="1"/>
  <c r="AQ9" i="1"/>
  <c r="AQ19" i="1"/>
  <c r="AU19" i="1"/>
  <c r="R29" i="1"/>
  <c r="V29" i="1"/>
  <c r="AU12" i="1"/>
  <c r="AQ12" i="1"/>
  <c r="AX23" i="1" l="1"/>
  <c r="AZ23" i="1" s="1"/>
  <c r="AW23" i="1"/>
  <c r="AX19" i="1"/>
  <c r="AZ19" i="1" s="1"/>
  <c r="AW19" i="1"/>
  <c r="AX13" i="1"/>
  <c r="AZ13" i="1" s="1"/>
  <c r="AW13" i="1"/>
  <c r="AX18" i="1"/>
  <c r="AZ18" i="1" s="1"/>
  <c r="AW18" i="1"/>
  <c r="AX20" i="1"/>
  <c r="AZ20" i="1" s="1"/>
  <c r="AW20" i="1"/>
  <c r="AX14" i="1"/>
  <c r="AZ14" i="1" s="1"/>
  <c r="AW14" i="1"/>
  <c r="AU28" i="1"/>
  <c r="AQ28" i="1"/>
  <c r="AX9" i="1"/>
  <c r="AZ9" i="1" s="1"/>
  <c r="AW9" i="1"/>
  <c r="AX22" i="1"/>
  <c r="AZ22" i="1" s="1"/>
  <c r="AW22" i="1"/>
  <c r="AX21" i="1"/>
  <c r="AZ21" i="1" s="1"/>
  <c r="AW21" i="1"/>
  <c r="AU10" i="1"/>
  <c r="AQ10" i="1"/>
  <c r="AX27" i="1"/>
  <c r="AZ27" i="1" s="1"/>
  <c r="AW27" i="1"/>
  <c r="AX17" i="1"/>
  <c r="AZ17" i="1" s="1"/>
  <c r="AW17" i="1"/>
  <c r="AX25" i="1"/>
  <c r="AZ25" i="1" s="1"/>
  <c r="AW25" i="1"/>
  <c r="AX11" i="1"/>
  <c r="AZ11" i="1" s="1"/>
  <c r="AW11" i="1"/>
  <c r="AO29" i="1"/>
  <c r="Y29" i="1"/>
  <c r="AA29" i="1" s="1"/>
  <c r="X29" i="1"/>
  <c r="AE29" i="1"/>
  <c r="AG29" i="1" s="1"/>
  <c r="AU26" i="1"/>
  <c r="AQ26" i="1"/>
  <c r="AX15" i="1"/>
  <c r="AZ15" i="1" s="1"/>
  <c r="AW15" i="1"/>
  <c r="AU16" i="1"/>
  <c r="AQ16" i="1"/>
  <c r="AX12" i="1"/>
  <c r="AZ12" i="1" s="1"/>
  <c r="AW12" i="1"/>
  <c r="AX24" i="1"/>
  <c r="AZ24" i="1" s="1"/>
  <c r="AW24" i="1"/>
  <c r="AQ29" i="1" l="1"/>
  <c r="AU29" i="1"/>
  <c r="AX10" i="1"/>
  <c r="AZ10" i="1" s="1"/>
  <c r="AW10" i="1"/>
  <c r="AX28" i="1"/>
  <c r="AZ28" i="1" s="1"/>
  <c r="AW28" i="1"/>
  <c r="AX26" i="1"/>
  <c r="AZ26" i="1" s="1"/>
  <c r="AW26" i="1"/>
  <c r="AX16" i="1"/>
  <c r="AZ16" i="1" s="1"/>
  <c r="AW16" i="1"/>
  <c r="AX29" i="1" l="1"/>
  <c r="AZ29" i="1" s="1"/>
  <c r="AW29" i="1"/>
  <c r="AU149" i="1" l="1"/>
  <c r="AR149" i="1" s="1"/>
  <c r="AV149" i="1" s="1"/>
  <c r="AQ149" i="1"/>
  <c r="AN149" i="1"/>
  <c r="AC149" i="1"/>
  <c r="AD149" i="1" s="1"/>
  <c r="X149" i="1"/>
  <c r="AY147" i="1"/>
  <c r="AM147" i="1"/>
  <c r="AL147" i="1"/>
  <c r="AI147" i="1"/>
  <c r="AC147" i="1"/>
  <c r="AD147" i="1" s="1"/>
  <c r="T147" i="1"/>
  <c r="U147" i="1" s="1"/>
  <c r="P147" i="1"/>
  <c r="V147" i="1" s="1"/>
  <c r="N147" i="1"/>
  <c r="O147" i="1" s="1"/>
  <c r="AY146" i="1"/>
  <c r="AM146" i="1"/>
  <c r="AL146" i="1"/>
  <c r="AI146" i="1"/>
  <c r="AC146" i="1"/>
  <c r="AD146" i="1" s="1"/>
  <c r="T146" i="1"/>
  <c r="U146" i="1" s="1"/>
  <c r="P146" i="1"/>
  <c r="V146" i="1" s="1"/>
  <c r="N146" i="1"/>
  <c r="O146" i="1" s="1"/>
  <c r="AY145" i="1"/>
  <c r="AM145" i="1"/>
  <c r="AL145" i="1"/>
  <c r="AI145" i="1"/>
  <c r="AC145" i="1"/>
  <c r="AD145" i="1" s="1"/>
  <c r="T145" i="1"/>
  <c r="U145" i="1" s="1"/>
  <c r="P145" i="1"/>
  <c r="R145" i="1" s="1"/>
  <c r="N145" i="1"/>
  <c r="O145" i="1" s="1"/>
  <c r="AO146" i="1" l="1"/>
  <c r="AQ146" i="1" s="1"/>
  <c r="AN145" i="1"/>
  <c r="AN147" i="1"/>
  <c r="V145" i="1"/>
  <c r="Y145" i="1" s="1"/>
  <c r="AA145" i="1" s="1"/>
  <c r="Y147" i="1"/>
  <c r="AA147" i="1" s="1"/>
  <c r="X147" i="1"/>
  <c r="R147" i="1"/>
  <c r="AN146" i="1"/>
  <c r="AO147" i="1"/>
  <c r="AX147" i="1" s="1"/>
  <c r="AZ147" i="1" s="1"/>
  <c r="AY149" i="1"/>
  <c r="AZ149" i="1" s="1"/>
  <c r="AW149" i="1"/>
  <c r="AS149" i="1"/>
  <c r="AT149" i="1" s="1"/>
  <c r="AX146" i="1"/>
  <c r="AZ146" i="1" s="1"/>
  <c r="Y146" i="1"/>
  <c r="AA146" i="1" s="1"/>
  <c r="X146" i="1"/>
  <c r="R146" i="1"/>
  <c r="X145" i="1" l="1"/>
  <c r="AO145" i="1"/>
  <c r="AQ147" i="1"/>
  <c r="AY143" i="1"/>
  <c r="AO143" i="1"/>
  <c r="AX143" i="1" s="1"/>
  <c r="AM143" i="1"/>
  <c r="AN143" i="1" s="1"/>
  <c r="AY142" i="1"/>
  <c r="AX142" i="1"/>
  <c r="AQ142" i="1"/>
  <c r="AZ142" i="1" s="1"/>
  <c r="AM142" i="1"/>
  <c r="AN142" i="1" s="1"/>
  <c r="V142" i="1"/>
  <c r="X142" i="1" s="1"/>
  <c r="AY141" i="1"/>
  <c r="AO141" i="1"/>
  <c r="AX141" i="1" s="1"/>
  <c r="AM141" i="1"/>
  <c r="AN141" i="1" s="1"/>
  <c r="AX145" i="1" l="1"/>
  <c r="AZ145" i="1" s="1"/>
  <c r="AQ145" i="1"/>
  <c r="V143" i="1"/>
  <c r="X143" i="1" s="1"/>
  <c r="V141" i="1"/>
  <c r="X141" i="1" s="1"/>
  <c r="AQ141" i="1"/>
  <c r="AZ141" i="1" s="1"/>
  <c r="AQ143" i="1"/>
  <c r="AZ143" i="1" s="1"/>
  <c r="AC139" i="1" l="1"/>
  <c r="X139" i="1"/>
  <c r="AC138" i="1"/>
  <c r="X138" i="1"/>
  <c r="AZ137" i="1"/>
  <c r="AQ137" i="1"/>
  <c r="AC137" i="1"/>
  <c r="X137" i="1"/>
  <c r="AY135" i="1" l="1"/>
  <c r="AM135" i="1"/>
  <c r="AL135" i="1"/>
  <c r="AI135" i="1"/>
  <c r="AC135" i="1"/>
  <c r="AD135" i="1" s="1"/>
  <c r="T135" i="1"/>
  <c r="U135" i="1" s="1"/>
  <c r="P135" i="1"/>
  <c r="R135" i="1" s="1"/>
  <c r="N135" i="1"/>
  <c r="O135" i="1" s="1"/>
  <c r="AY134" i="1"/>
  <c r="AM134" i="1"/>
  <c r="AL134" i="1"/>
  <c r="AI134" i="1"/>
  <c r="AC134" i="1"/>
  <c r="AD134" i="1" s="1"/>
  <c r="T134" i="1"/>
  <c r="U134" i="1" s="1"/>
  <c r="P134" i="1"/>
  <c r="V134" i="1" s="1"/>
  <c r="N134" i="1"/>
  <c r="O134" i="1" s="1"/>
  <c r="AY133" i="1"/>
  <c r="AM133" i="1"/>
  <c r="AL133" i="1"/>
  <c r="AI133" i="1"/>
  <c r="AC133" i="1"/>
  <c r="AD133" i="1" s="1"/>
  <c r="T133" i="1"/>
  <c r="U133" i="1" s="1"/>
  <c r="P133" i="1"/>
  <c r="R133" i="1" s="1"/>
  <c r="N133" i="1"/>
  <c r="O133" i="1" s="1"/>
  <c r="AY132" i="1"/>
  <c r="AM132" i="1"/>
  <c r="AL132" i="1"/>
  <c r="AI132" i="1"/>
  <c r="AC132" i="1"/>
  <c r="AD132" i="1" s="1"/>
  <c r="T132" i="1"/>
  <c r="U132" i="1" s="1"/>
  <c r="P132" i="1"/>
  <c r="V132" i="1" s="1"/>
  <c r="N132" i="1"/>
  <c r="O132" i="1" s="1"/>
  <c r="AV131" i="1"/>
  <c r="AS131" i="1"/>
  <c r="AM131" i="1"/>
  <c r="AN131" i="1" s="1"/>
  <c r="AI131" i="1"/>
  <c r="AJ131" i="1" s="1"/>
  <c r="AC131" i="1"/>
  <c r="AD131" i="1" s="1"/>
  <c r="T131" i="1"/>
  <c r="U131" i="1" s="1"/>
  <c r="P131" i="1"/>
  <c r="V131" i="1" s="1"/>
  <c r="N131" i="1"/>
  <c r="O131" i="1" s="1"/>
  <c r="AV130" i="1"/>
  <c r="AS130" i="1" s="1"/>
  <c r="AM130" i="1"/>
  <c r="AN130" i="1" s="1"/>
  <c r="AI130" i="1"/>
  <c r="AJ130" i="1" s="1"/>
  <c r="AC130" i="1"/>
  <c r="AD130" i="1" s="1"/>
  <c r="T130" i="1"/>
  <c r="U130" i="1" s="1"/>
  <c r="P130" i="1"/>
  <c r="V130" i="1" s="1"/>
  <c r="N130" i="1"/>
  <c r="O130" i="1" s="1"/>
  <c r="AV129" i="1"/>
  <c r="AS129" i="1" s="1"/>
  <c r="AM129" i="1"/>
  <c r="AN129" i="1" s="1"/>
  <c r="AI129" i="1"/>
  <c r="AJ129" i="1" s="1"/>
  <c r="AC129" i="1"/>
  <c r="AD129" i="1" s="1"/>
  <c r="T129" i="1"/>
  <c r="U129" i="1" s="1"/>
  <c r="P129" i="1"/>
  <c r="V129" i="1" s="1"/>
  <c r="AE129" i="1" s="1"/>
  <c r="AG129" i="1" s="1"/>
  <c r="N129" i="1"/>
  <c r="O129" i="1" s="1"/>
  <c r="AV128" i="1"/>
  <c r="AS128" i="1"/>
  <c r="AM128" i="1"/>
  <c r="AN128" i="1" s="1"/>
  <c r="AJ128" i="1"/>
  <c r="AI128" i="1"/>
  <c r="AC128" i="1"/>
  <c r="AD128" i="1" s="1"/>
  <c r="T128" i="1"/>
  <c r="U128" i="1" s="1"/>
  <c r="P128" i="1"/>
  <c r="R128" i="1" s="1"/>
  <c r="N128" i="1"/>
  <c r="O128" i="1" s="1"/>
  <c r="AC126" i="1"/>
  <c r="AC125" i="1"/>
  <c r="AC124" i="1"/>
  <c r="AC123" i="1"/>
  <c r="AC122" i="1"/>
  <c r="AY120" i="1"/>
  <c r="AM120" i="1"/>
  <c r="AL120" i="1"/>
  <c r="AC120" i="1"/>
  <c r="AD120" i="1" s="1"/>
  <c r="T120" i="1"/>
  <c r="U120" i="1" s="1"/>
  <c r="P120" i="1"/>
  <c r="R120" i="1" s="1"/>
  <c r="N120" i="1"/>
  <c r="O120" i="1" s="1"/>
  <c r="AY119" i="1"/>
  <c r="AM119" i="1"/>
  <c r="AL119" i="1"/>
  <c r="AC119" i="1"/>
  <c r="AD119" i="1" s="1"/>
  <c r="T119" i="1"/>
  <c r="U119" i="1" s="1"/>
  <c r="P119" i="1"/>
  <c r="V119" i="1" s="1"/>
  <c r="N119" i="1"/>
  <c r="O119" i="1" s="1"/>
  <c r="R132" i="1" l="1"/>
  <c r="AN132" i="1"/>
  <c r="AN134" i="1"/>
  <c r="R130" i="1"/>
  <c r="AN120" i="1"/>
  <c r="V120" i="1"/>
  <c r="X120" i="1" s="1"/>
  <c r="AE131" i="1"/>
  <c r="AG131" i="1" s="1"/>
  <c r="X131" i="1"/>
  <c r="R129" i="1"/>
  <c r="AN133" i="1"/>
  <c r="R131" i="1"/>
  <c r="AN135" i="1"/>
  <c r="AO132" i="1"/>
  <c r="AX132" i="1" s="1"/>
  <c r="AZ132" i="1" s="1"/>
  <c r="V133" i="1"/>
  <c r="Y133" i="1" s="1"/>
  <c r="AA133" i="1" s="1"/>
  <c r="Y132" i="1"/>
  <c r="AA132" i="1" s="1"/>
  <c r="X132" i="1"/>
  <c r="AO130" i="1"/>
  <c r="Y130" i="1"/>
  <c r="AA130" i="1" s="1"/>
  <c r="X130" i="1"/>
  <c r="AE130" i="1"/>
  <c r="AG130" i="1" s="1"/>
  <c r="AO134" i="1"/>
  <c r="Y134" i="1"/>
  <c r="AA134" i="1" s="1"/>
  <c r="X134" i="1"/>
  <c r="Y129" i="1"/>
  <c r="AA129" i="1" s="1"/>
  <c r="Y131" i="1"/>
  <c r="AA131" i="1" s="1"/>
  <c r="R134" i="1"/>
  <c r="V135" i="1"/>
  <c r="AO135" i="1" s="1"/>
  <c r="V128" i="1"/>
  <c r="AO129" i="1"/>
  <c r="AO131" i="1"/>
  <c r="X129" i="1"/>
  <c r="X119" i="1"/>
  <c r="Y119" i="1"/>
  <c r="AA119" i="1" s="1"/>
  <c r="AO119" i="1"/>
  <c r="R119" i="1"/>
  <c r="AN119" i="1"/>
  <c r="Y120" i="1" l="1"/>
  <c r="AA120" i="1" s="1"/>
  <c r="X133" i="1"/>
  <c r="AO120" i="1"/>
  <c r="AX120" i="1" s="1"/>
  <c r="AZ120" i="1" s="1"/>
  <c r="AO133" i="1"/>
  <c r="AX133" i="1" s="1"/>
  <c r="AZ133" i="1" s="1"/>
  <c r="AQ132" i="1"/>
  <c r="AQ135" i="1"/>
  <c r="AX135" i="1"/>
  <c r="AZ135" i="1" s="1"/>
  <c r="Y135" i="1"/>
  <c r="AA135" i="1" s="1"/>
  <c r="X135" i="1"/>
  <c r="AQ131" i="1"/>
  <c r="AX131" i="1"/>
  <c r="AQ129" i="1"/>
  <c r="AX129" i="1"/>
  <c r="AX130" i="1"/>
  <c r="AQ130" i="1"/>
  <c r="AO128" i="1"/>
  <c r="Y128" i="1"/>
  <c r="AA128" i="1" s="1"/>
  <c r="X128" i="1"/>
  <c r="AE128" i="1"/>
  <c r="AG128" i="1" s="1"/>
  <c r="AQ134" i="1"/>
  <c r="AX134" i="1"/>
  <c r="AZ134" i="1" s="1"/>
  <c r="AX119" i="1"/>
  <c r="AZ119" i="1" s="1"/>
  <c r="AQ119" i="1"/>
  <c r="AQ133" i="1" l="1"/>
  <c r="AQ120" i="1"/>
  <c r="AX128" i="1"/>
  <c r="AQ128" i="1"/>
  <c r="AZ131" i="1"/>
  <c r="AU131" i="1"/>
  <c r="AU130" i="1"/>
  <c r="AZ130" i="1"/>
  <c r="AZ129" i="1"/>
  <c r="AU129" i="1"/>
  <c r="AV117" i="1"/>
  <c r="AS117" i="1" s="1"/>
  <c r="AO117" i="1"/>
  <c r="AX117" i="1" s="1"/>
  <c r="AM117" i="1"/>
  <c r="AN117" i="1" s="1"/>
  <c r="X117" i="1"/>
  <c r="AV116" i="1"/>
  <c r="AS116" i="1" s="1"/>
  <c r="AM116" i="1"/>
  <c r="AN116" i="1" s="1"/>
  <c r="AC116" i="1"/>
  <c r="AD116" i="1" s="1"/>
  <c r="T116" i="1"/>
  <c r="U116" i="1" s="1"/>
  <c r="P116" i="1"/>
  <c r="R116" i="1" s="1"/>
  <c r="N116" i="1"/>
  <c r="O116" i="1" s="1"/>
  <c r="AV115" i="1"/>
  <c r="AS115" i="1" s="1"/>
  <c r="AM115" i="1"/>
  <c r="AN115" i="1" s="1"/>
  <c r="AC115" i="1"/>
  <c r="AD115" i="1" s="1"/>
  <c r="T115" i="1"/>
  <c r="U115" i="1" s="1"/>
  <c r="P115" i="1"/>
  <c r="R115" i="1" s="1"/>
  <c r="N115" i="1"/>
  <c r="O115" i="1" s="1"/>
  <c r="AV114" i="1"/>
  <c r="AS114" i="1" s="1"/>
  <c r="AM114" i="1"/>
  <c r="AN114" i="1" s="1"/>
  <c r="AC114" i="1"/>
  <c r="AD114" i="1" s="1"/>
  <c r="T114" i="1"/>
  <c r="U114" i="1" s="1"/>
  <c r="P114" i="1"/>
  <c r="R114" i="1" s="1"/>
  <c r="O114" i="1"/>
  <c r="N114" i="1"/>
  <c r="AV113" i="1"/>
  <c r="AS113" i="1" s="1"/>
  <c r="AM113" i="1"/>
  <c r="AN113" i="1" s="1"/>
  <c r="AC113" i="1"/>
  <c r="AD113" i="1" s="1"/>
  <c r="T113" i="1"/>
  <c r="U113" i="1" s="1"/>
  <c r="P113" i="1"/>
  <c r="R113" i="1" s="1"/>
  <c r="N113" i="1"/>
  <c r="O113" i="1" s="1"/>
  <c r="AY111" i="1"/>
  <c r="AZ111" i="1" s="1"/>
  <c r="AQ111" i="1"/>
  <c r="AM111" i="1"/>
  <c r="AN111" i="1" s="1"/>
  <c r="AI111" i="1"/>
  <c r="AJ111" i="1" s="1"/>
  <c r="AG111" i="1"/>
  <c r="AC111" i="1"/>
  <c r="AD111" i="1" s="1"/>
  <c r="AA111" i="1"/>
  <c r="X111" i="1"/>
  <c r="T111" i="1"/>
  <c r="U111" i="1" s="1"/>
  <c r="R111" i="1"/>
  <c r="N111" i="1"/>
  <c r="O111" i="1" s="1"/>
  <c r="AY110" i="1"/>
  <c r="AZ110" i="1" s="1"/>
  <c r="AQ110" i="1"/>
  <c r="AM110" i="1"/>
  <c r="AN110" i="1" s="1"/>
  <c r="AI110" i="1"/>
  <c r="AJ110" i="1" s="1"/>
  <c r="AG110" i="1"/>
  <c r="AC110" i="1"/>
  <c r="AD110" i="1" s="1"/>
  <c r="AA110" i="1"/>
  <c r="X110" i="1"/>
  <c r="T110" i="1"/>
  <c r="U110" i="1" s="1"/>
  <c r="R110" i="1"/>
  <c r="N110" i="1"/>
  <c r="O110" i="1" s="1"/>
  <c r="AY109" i="1"/>
  <c r="AZ109" i="1" s="1"/>
  <c r="AQ109" i="1"/>
  <c r="AM109" i="1"/>
  <c r="AN109" i="1" s="1"/>
  <c r="AI109" i="1"/>
  <c r="AJ109" i="1" s="1"/>
  <c r="AG109" i="1"/>
  <c r="AC109" i="1"/>
  <c r="AD109" i="1" s="1"/>
  <c r="AA109" i="1"/>
  <c r="X109" i="1"/>
  <c r="T109" i="1"/>
  <c r="U109" i="1" s="1"/>
  <c r="R109" i="1"/>
  <c r="N109" i="1"/>
  <c r="O109" i="1" s="1"/>
  <c r="AY108" i="1"/>
  <c r="AZ108" i="1" s="1"/>
  <c r="AQ108" i="1"/>
  <c r="AM108" i="1"/>
  <c r="AN108" i="1" s="1"/>
  <c r="AI108" i="1"/>
  <c r="AJ108" i="1" s="1"/>
  <c r="AG108" i="1"/>
  <c r="AC108" i="1"/>
  <c r="AD108" i="1" s="1"/>
  <c r="AA108" i="1"/>
  <c r="X108" i="1"/>
  <c r="T108" i="1"/>
  <c r="U108" i="1" s="1"/>
  <c r="R108" i="1"/>
  <c r="N108" i="1"/>
  <c r="O108" i="1" s="1"/>
  <c r="AY107" i="1"/>
  <c r="AZ107" i="1" s="1"/>
  <c r="AQ107" i="1"/>
  <c r="AM107" i="1"/>
  <c r="AN107" i="1" s="1"/>
  <c r="AI107" i="1"/>
  <c r="AJ107" i="1" s="1"/>
  <c r="AG107" i="1"/>
  <c r="AC107" i="1"/>
  <c r="AD107" i="1" s="1"/>
  <c r="AA107" i="1"/>
  <c r="X107" i="1"/>
  <c r="T107" i="1"/>
  <c r="U107" i="1" s="1"/>
  <c r="R107" i="1"/>
  <c r="N107" i="1"/>
  <c r="O107" i="1" s="1"/>
  <c r="AZ106" i="1"/>
  <c r="AQ106" i="1"/>
  <c r="AM106" i="1"/>
  <c r="AN106" i="1" s="1"/>
  <c r="AI106" i="1"/>
  <c r="AJ106" i="1" s="1"/>
  <c r="AG106" i="1"/>
  <c r="AC106" i="1"/>
  <c r="AD106" i="1" s="1"/>
  <c r="AA106" i="1"/>
  <c r="X106" i="1"/>
  <c r="T106" i="1"/>
  <c r="U106" i="1" s="1"/>
  <c r="R106" i="1"/>
  <c r="N106" i="1"/>
  <c r="O106" i="1" s="1"/>
  <c r="AZ105" i="1"/>
  <c r="AQ105" i="1"/>
  <c r="AM105" i="1"/>
  <c r="AN105" i="1" s="1"/>
  <c r="AI105" i="1"/>
  <c r="AJ105" i="1" s="1"/>
  <c r="AG105" i="1"/>
  <c r="AC105" i="1"/>
  <c r="AD105" i="1" s="1"/>
  <c r="AA105" i="1"/>
  <c r="X105" i="1"/>
  <c r="T105" i="1"/>
  <c r="U105" i="1" s="1"/>
  <c r="R105" i="1"/>
  <c r="N105" i="1"/>
  <c r="O105" i="1" s="1"/>
  <c r="AZ104" i="1"/>
  <c r="AQ104" i="1"/>
  <c r="AM104" i="1"/>
  <c r="AN104" i="1" s="1"/>
  <c r="AI104" i="1"/>
  <c r="AJ104" i="1" s="1"/>
  <c r="AG104" i="1"/>
  <c r="AC104" i="1"/>
  <c r="AD104" i="1" s="1"/>
  <c r="AA104" i="1"/>
  <c r="X104" i="1"/>
  <c r="T104" i="1"/>
  <c r="U104" i="1" s="1"/>
  <c r="R104" i="1"/>
  <c r="N104" i="1"/>
  <c r="O104" i="1" s="1"/>
  <c r="AZ103" i="1"/>
  <c r="AQ103" i="1"/>
  <c r="AM103" i="1"/>
  <c r="AN103" i="1" s="1"/>
  <c r="AI103" i="1"/>
  <c r="AJ103" i="1" s="1"/>
  <c r="AG103" i="1"/>
  <c r="AC103" i="1"/>
  <c r="AD103" i="1" s="1"/>
  <c r="AA103" i="1"/>
  <c r="X103" i="1"/>
  <c r="T103" i="1"/>
  <c r="U103" i="1" s="1"/>
  <c r="R103" i="1"/>
  <c r="N103" i="1"/>
  <c r="O103" i="1" s="1"/>
  <c r="AZ102" i="1"/>
  <c r="AQ102" i="1"/>
  <c r="AM102" i="1"/>
  <c r="AN102" i="1" s="1"/>
  <c r="AI102" i="1"/>
  <c r="AJ102" i="1" s="1"/>
  <c r="AG102" i="1"/>
  <c r="AC102" i="1"/>
  <c r="AD102" i="1" s="1"/>
  <c r="AA102" i="1"/>
  <c r="X102" i="1"/>
  <c r="T102" i="1"/>
  <c r="U102" i="1" s="1"/>
  <c r="R102" i="1"/>
  <c r="N102" i="1"/>
  <c r="O102" i="1" s="1"/>
  <c r="AZ101" i="1"/>
  <c r="AQ101" i="1"/>
  <c r="AM101" i="1"/>
  <c r="AN101" i="1" s="1"/>
  <c r="AI101" i="1"/>
  <c r="AJ101" i="1" s="1"/>
  <c r="AG101" i="1"/>
  <c r="AC101" i="1"/>
  <c r="AD101" i="1" s="1"/>
  <c r="AA101" i="1"/>
  <c r="X101" i="1"/>
  <c r="T101" i="1"/>
  <c r="U101" i="1" s="1"/>
  <c r="R101" i="1"/>
  <c r="N101" i="1"/>
  <c r="O101" i="1" s="1"/>
  <c r="AZ100" i="1"/>
  <c r="AQ100" i="1"/>
  <c r="AM100" i="1"/>
  <c r="AN100" i="1" s="1"/>
  <c r="AI100" i="1"/>
  <c r="AJ100" i="1" s="1"/>
  <c r="AG100" i="1"/>
  <c r="AC100" i="1"/>
  <c r="AD100" i="1" s="1"/>
  <c r="AA100" i="1"/>
  <c r="X100" i="1"/>
  <c r="T100" i="1"/>
  <c r="U100" i="1" s="1"/>
  <c r="R100" i="1"/>
  <c r="N100" i="1"/>
  <c r="O100" i="1" s="1"/>
  <c r="AZ99" i="1"/>
  <c r="AQ99" i="1"/>
  <c r="AM99" i="1"/>
  <c r="AN99" i="1" s="1"/>
  <c r="AI99" i="1"/>
  <c r="AJ99" i="1" s="1"/>
  <c r="AG99" i="1"/>
  <c r="AC99" i="1"/>
  <c r="AD99" i="1" s="1"/>
  <c r="AA99" i="1"/>
  <c r="X99" i="1"/>
  <c r="T99" i="1"/>
  <c r="U99" i="1" s="1"/>
  <c r="R99" i="1"/>
  <c r="N99" i="1"/>
  <c r="O99" i="1" s="1"/>
  <c r="AZ98" i="1"/>
  <c r="AQ98" i="1"/>
  <c r="AM98" i="1"/>
  <c r="AN98" i="1" s="1"/>
  <c r="AI98" i="1"/>
  <c r="AJ98" i="1" s="1"/>
  <c r="AG98" i="1"/>
  <c r="AC98" i="1"/>
  <c r="AD98" i="1" s="1"/>
  <c r="AA98" i="1"/>
  <c r="X98" i="1"/>
  <c r="T98" i="1"/>
  <c r="U98" i="1" s="1"/>
  <c r="R98" i="1"/>
  <c r="N98" i="1"/>
  <c r="O98" i="1" s="1"/>
  <c r="AZ97" i="1"/>
  <c r="AQ97" i="1"/>
  <c r="AM97" i="1"/>
  <c r="AN97" i="1" s="1"/>
  <c r="AI97" i="1"/>
  <c r="AJ97" i="1" s="1"/>
  <c r="AG97" i="1"/>
  <c r="AC97" i="1"/>
  <c r="AD97" i="1" s="1"/>
  <c r="AA97" i="1"/>
  <c r="X97" i="1"/>
  <c r="T97" i="1"/>
  <c r="U97" i="1" s="1"/>
  <c r="R97" i="1"/>
  <c r="N97" i="1"/>
  <c r="O97" i="1" s="1"/>
  <c r="AZ96" i="1"/>
  <c r="AQ96" i="1"/>
  <c r="AM96" i="1"/>
  <c r="AN96" i="1" s="1"/>
  <c r="AI96" i="1"/>
  <c r="AJ96" i="1" s="1"/>
  <c r="AG96" i="1"/>
  <c r="AC96" i="1"/>
  <c r="AD96" i="1" s="1"/>
  <c r="AA96" i="1"/>
  <c r="X96" i="1"/>
  <c r="T96" i="1"/>
  <c r="U96" i="1" s="1"/>
  <c r="R96" i="1"/>
  <c r="N96" i="1"/>
  <c r="O96" i="1" s="1"/>
  <c r="AZ95" i="1"/>
  <c r="AQ95" i="1"/>
  <c r="AM95" i="1"/>
  <c r="AN95" i="1" s="1"/>
  <c r="AI95" i="1"/>
  <c r="AJ95" i="1" s="1"/>
  <c r="AG95" i="1"/>
  <c r="AC95" i="1"/>
  <c r="AD95" i="1" s="1"/>
  <c r="AA95" i="1"/>
  <c r="X95" i="1"/>
  <c r="T95" i="1"/>
  <c r="U95" i="1" s="1"/>
  <c r="R95" i="1"/>
  <c r="N95" i="1"/>
  <c r="O95" i="1" s="1"/>
  <c r="AY94" i="1"/>
  <c r="AZ94" i="1" s="1"/>
  <c r="AQ94" i="1"/>
  <c r="AM94" i="1"/>
  <c r="AN94" i="1" s="1"/>
  <c r="AI94" i="1"/>
  <c r="AJ94" i="1" s="1"/>
  <c r="AG94" i="1"/>
  <c r="AC94" i="1"/>
  <c r="AD94" i="1" s="1"/>
  <c r="AA94" i="1"/>
  <c r="X94" i="1"/>
  <c r="T94" i="1"/>
  <c r="U94" i="1" s="1"/>
  <c r="R94" i="1"/>
  <c r="N94" i="1"/>
  <c r="O94" i="1" s="1"/>
  <c r="AY93" i="1"/>
  <c r="AZ93" i="1" s="1"/>
  <c r="AQ93" i="1"/>
  <c r="AM93" i="1"/>
  <c r="AN93" i="1" s="1"/>
  <c r="AC93" i="1"/>
  <c r="AD93" i="1" s="1"/>
  <c r="AA93" i="1"/>
  <c r="X93" i="1"/>
  <c r="T93" i="1"/>
  <c r="U93" i="1" s="1"/>
  <c r="R93" i="1"/>
  <c r="N93" i="1"/>
  <c r="O93" i="1" s="1"/>
  <c r="AZ92" i="1"/>
  <c r="AV92" i="1"/>
  <c r="AS92" i="1" s="1"/>
  <c r="AT92" i="1" s="1"/>
  <c r="AQ92" i="1"/>
  <c r="AM92" i="1"/>
  <c r="AN92" i="1" s="1"/>
  <c r="AI92" i="1"/>
  <c r="AJ92" i="1" s="1"/>
  <c r="AG92" i="1"/>
  <c r="AC92" i="1"/>
  <c r="AD92" i="1" s="1"/>
  <c r="AA92" i="1"/>
  <c r="X92" i="1"/>
  <c r="T92" i="1"/>
  <c r="U92" i="1" s="1"/>
  <c r="R92" i="1"/>
  <c r="N92" i="1"/>
  <c r="O92" i="1" s="1"/>
  <c r="AZ91" i="1"/>
  <c r="AV91" i="1"/>
  <c r="AW91" i="1" s="1"/>
  <c r="AQ91" i="1"/>
  <c r="AM91" i="1"/>
  <c r="AN91" i="1" s="1"/>
  <c r="AI91" i="1"/>
  <c r="AJ91" i="1" s="1"/>
  <c r="AG91" i="1"/>
  <c r="X91" i="1"/>
  <c r="T91" i="1"/>
  <c r="U91" i="1" s="1"/>
  <c r="R91" i="1"/>
  <c r="N91" i="1"/>
  <c r="O91" i="1" s="1"/>
  <c r="AZ90" i="1"/>
  <c r="AV90" i="1"/>
  <c r="AW90" i="1" s="1"/>
  <c r="AQ90" i="1"/>
  <c r="AM90" i="1"/>
  <c r="AN90" i="1" s="1"/>
  <c r="AI90" i="1"/>
  <c r="AJ90" i="1" s="1"/>
  <c r="AG90" i="1"/>
  <c r="X90" i="1"/>
  <c r="T90" i="1"/>
  <c r="U90" i="1" s="1"/>
  <c r="R90" i="1"/>
  <c r="N90" i="1"/>
  <c r="O90" i="1" s="1"/>
  <c r="AZ89" i="1"/>
  <c r="AV89" i="1"/>
  <c r="AW89" i="1" s="1"/>
  <c r="AQ89" i="1"/>
  <c r="AM89" i="1"/>
  <c r="AN89" i="1" s="1"/>
  <c r="AI89" i="1"/>
  <c r="AJ89" i="1" s="1"/>
  <c r="AG89" i="1"/>
  <c r="AC89" i="1"/>
  <c r="AD89" i="1" s="1"/>
  <c r="AA89" i="1"/>
  <c r="X89" i="1"/>
  <c r="T89" i="1"/>
  <c r="U89" i="1" s="1"/>
  <c r="R89" i="1"/>
  <c r="N89" i="1"/>
  <c r="O89" i="1" s="1"/>
  <c r="AZ88" i="1"/>
  <c r="AV88" i="1"/>
  <c r="AW88" i="1" s="1"/>
  <c r="AQ88" i="1"/>
  <c r="AM88" i="1"/>
  <c r="AN88" i="1" s="1"/>
  <c r="AI88" i="1"/>
  <c r="AJ88" i="1" s="1"/>
  <c r="AG88" i="1"/>
  <c r="AC88" i="1"/>
  <c r="AD88" i="1" s="1"/>
  <c r="AA88" i="1"/>
  <c r="X88" i="1"/>
  <c r="T88" i="1"/>
  <c r="U88" i="1" s="1"/>
  <c r="R88" i="1"/>
  <c r="N88" i="1"/>
  <c r="O88" i="1" s="1"/>
  <c r="AZ87" i="1"/>
  <c r="AV87" i="1"/>
  <c r="AW87" i="1" s="1"/>
  <c r="AQ87" i="1"/>
  <c r="AM87" i="1"/>
  <c r="AN87" i="1" s="1"/>
  <c r="AI87" i="1"/>
  <c r="AJ87" i="1" s="1"/>
  <c r="AG87" i="1"/>
  <c r="AC87" i="1"/>
  <c r="AD87" i="1" s="1"/>
  <c r="AA87" i="1"/>
  <c r="X87" i="1"/>
  <c r="T87" i="1"/>
  <c r="U87" i="1" s="1"/>
  <c r="R87" i="1"/>
  <c r="N87" i="1"/>
  <c r="O87" i="1" s="1"/>
  <c r="AZ86" i="1"/>
  <c r="AV86" i="1"/>
  <c r="AW86" i="1" s="1"/>
  <c r="AQ86" i="1"/>
  <c r="AM86" i="1"/>
  <c r="AN86" i="1" s="1"/>
  <c r="AI86" i="1"/>
  <c r="AJ86" i="1" s="1"/>
  <c r="AG86" i="1"/>
  <c r="AC86" i="1"/>
  <c r="AD86" i="1" s="1"/>
  <c r="AA86" i="1"/>
  <c r="X86" i="1"/>
  <c r="T86" i="1"/>
  <c r="U86" i="1" s="1"/>
  <c r="R86" i="1"/>
  <c r="N86" i="1"/>
  <c r="O86" i="1" s="1"/>
  <c r="AZ85" i="1"/>
  <c r="AV85" i="1"/>
  <c r="AW85" i="1" s="1"/>
  <c r="AS85" i="1"/>
  <c r="AT85" i="1" s="1"/>
  <c r="AQ85" i="1"/>
  <c r="AM85" i="1"/>
  <c r="AN85" i="1" s="1"/>
  <c r="AI85" i="1"/>
  <c r="AJ85" i="1" s="1"/>
  <c r="AG85" i="1"/>
  <c r="AC85" i="1"/>
  <c r="AD85" i="1" s="1"/>
  <c r="AA85" i="1"/>
  <c r="X85" i="1"/>
  <c r="T85" i="1"/>
  <c r="U85" i="1" s="1"/>
  <c r="R85" i="1"/>
  <c r="N85" i="1"/>
  <c r="O85" i="1" s="1"/>
  <c r="AZ84" i="1"/>
  <c r="AV84" i="1"/>
  <c r="AW84" i="1" s="1"/>
  <c r="AQ84" i="1"/>
  <c r="AM84" i="1"/>
  <c r="AN84" i="1" s="1"/>
  <c r="AI84" i="1"/>
  <c r="AJ84" i="1" s="1"/>
  <c r="AG84" i="1"/>
  <c r="AC84" i="1"/>
  <c r="AD84" i="1" s="1"/>
  <c r="AA84" i="1"/>
  <c r="X84" i="1"/>
  <c r="T84" i="1"/>
  <c r="U84" i="1" s="1"/>
  <c r="R84" i="1"/>
  <c r="N84" i="1"/>
  <c r="O84" i="1" s="1"/>
  <c r="AZ83" i="1"/>
  <c r="AV83" i="1"/>
  <c r="AS83" i="1" s="1"/>
  <c r="AT83" i="1" s="1"/>
  <c r="AQ83" i="1"/>
  <c r="AM83" i="1"/>
  <c r="AN83" i="1" s="1"/>
  <c r="AI83" i="1"/>
  <c r="AJ83" i="1" s="1"/>
  <c r="AG83" i="1"/>
  <c r="AC83" i="1"/>
  <c r="AD83" i="1" s="1"/>
  <c r="AA83" i="1"/>
  <c r="X83" i="1"/>
  <c r="T83" i="1"/>
  <c r="U83" i="1" s="1"/>
  <c r="R83" i="1"/>
  <c r="N83" i="1"/>
  <c r="O83" i="1" s="1"/>
  <c r="AZ82" i="1"/>
  <c r="AV82" i="1"/>
  <c r="AW82" i="1" s="1"/>
  <c r="AQ82" i="1"/>
  <c r="AM82" i="1"/>
  <c r="AN82" i="1" s="1"/>
  <c r="AI82" i="1"/>
  <c r="AJ82" i="1" s="1"/>
  <c r="AG82" i="1"/>
  <c r="AC82" i="1"/>
  <c r="AD82" i="1" s="1"/>
  <c r="AA82" i="1"/>
  <c r="X82" i="1"/>
  <c r="T82" i="1"/>
  <c r="U82" i="1" s="1"/>
  <c r="R82" i="1"/>
  <c r="N82" i="1"/>
  <c r="O82" i="1" s="1"/>
  <c r="AZ81" i="1"/>
  <c r="AV81" i="1"/>
  <c r="AS81" i="1" s="1"/>
  <c r="AT81" i="1" s="1"/>
  <c r="AQ81" i="1"/>
  <c r="AM81" i="1"/>
  <c r="AN81" i="1" s="1"/>
  <c r="AI81" i="1"/>
  <c r="AJ81" i="1" s="1"/>
  <c r="AG81" i="1"/>
  <c r="AC81" i="1"/>
  <c r="AD81" i="1" s="1"/>
  <c r="AA81" i="1"/>
  <c r="X81" i="1"/>
  <c r="T81" i="1"/>
  <c r="U81" i="1" s="1"/>
  <c r="R81" i="1"/>
  <c r="N81" i="1"/>
  <c r="O81" i="1" s="1"/>
  <c r="AZ80" i="1"/>
  <c r="AV80" i="1"/>
  <c r="AW80" i="1" s="1"/>
  <c r="AQ80" i="1"/>
  <c r="AM80" i="1"/>
  <c r="AN80" i="1" s="1"/>
  <c r="AI80" i="1"/>
  <c r="AJ80" i="1" s="1"/>
  <c r="AG80" i="1"/>
  <c r="AC80" i="1"/>
  <c r="AD80" i="1" s="1"/>
  <c r="AA80" i="1"/>
  <c r="X80" i="1"/>
  <c r="T80" i="1"/>
  <c r="U80" i="1" s="1"/>
  <c r="R80" i="1"/>
  <c r="N80" i="1"/>
  <c r="O80" i="1" s="1"/>
  <c r="AZ79" i="1"/>
  <c r="AV79" i="1"/>
  <c r="AW79" i="1" s="1"/>
  <c r="AQ79" i="1"/>
  <c r="AM79" i="1"/>
  <c r="AN79" i="1" s="1"/>
  <c r="AI79" i="1"/>
  <c r="AJ79" i="1" s="1"/>
  <c r="AG79" i="1"/>
  <c r="AC79" i="1"/>
  <c r="AD79" i="1" s="1"/>
  <c r="AA79" i="1"/>
  <c r="X79" i="1"/>
  <c r="T79" i="1"/>
  <c r="U79" i="1" s="1"/>
  <c r="R79" i="1"/>
  <c r="N79" i="1"/>
  <c r="O79" i="1" s="1"/>
  <c r="AS86" i="1" l="1"/>
  <c r="AT86" i="1" s="1"/>
  <c r="AS89" i="1"/>
  <c r="AT89" i="1" s="1"/>
  <c r="AS82" i="1"/>
  <c r="AT82" i="1" s="1"/>
  <c r="AW83" i="1"/>
  <c r="AS87" i="1"/>
  <c r="AT87" i="1" s="1"/>
  <c r="AS79" i="1"/>
  <c r="AT79" i="1" s="1"/>
  <c r="AS84" i="1"/>
  <c r="AT84" i="1" s="1"/>
  <c r="AS88" i="1"/>
  <c r="AT88" i="1" s="1"/>
  <c r="AS90" i="1"/>
  <c r="AT90" i="1" s="1"/>
  <c r="AS80" i="1"/>
  <c r="AT80" i="1" s="1"/>
  <c r="AW81" i="1"/>
  <c r="V113" i="1"/>
  <c r="Y113" i="1" s="1"/>
  <c r="AA113" i="1" s="1"/>
  <c r="V114" i="1"/>
  <c r="Y114" i="1" s="1"/>
  <c r="AA114" i="1" s="1"/>
  <c r="V115" i="1"/>
  <c r="Y115" i="1" s="1"/>
  <c r="AA115" i="1" s="1"/>
  <c r="V116" i="1"/>
  <c r="AO116" i="1" s="1"/>
  <c r="AQ117" i="1"/>
  <c r="AR129" i="1"/>
  <c r="AT129" i="1" s="1"/>
  <c r="AW129" i="1"/>
  <c r="AW130" i="1"/>
  <c r="AR130" i="1"/>
  <c r="AT130" i="1" s="1"/>
  <c r="AR131" i="1"/>
  <c r="AT131" i="1" s="1"/>
  <c r="AW131" i="1"/>
  <c r="AU128" i="1"/>
  <c r="AZ128" i="1"/>
  <c r="AZ117" i="1"/>
  <c r="AU117" i="1"/>
  <c r="AS91" i="1"/>
  <c r="AT91" i="1" s="1"/>
  <c r="AW92" i="1"/>
  <c r="X115" i="1" l="1"/>
  <c r="X113" i="1"/>
  <c r="X114" i="1"/>
  <c r="AO113" i="1"/>
  <c r="AQ113" i="1" s="1"/>
  <c r="Y116" i="1"/>
  <c r="AA116" i="1" s="1"/>
  <c r="X116" i="1"/>
  <c r="AO114" i="1"/>
  <c r="AX114" i="1" s="1"/>
  <c r="AO115" i="1"/>
  <c r="AQ115" i="1" s="1"/>
  <c r="AW128" i="1"/>
  <c r="AR128" i="1"/>
  <c r="AT128" i="1" s="1"/>
  <c r="AW117" i="1"/>
  <c r="AR117" i="1"/>
  <c r="AT117" i="1" s="1"/>
  <c r="AX113" i="1"/>
  <c r="AQ116" i="1"/>
  <c r="AX116" i="1"/>
  <c r="AY77" i="1"/>
  <c r="AM77" i="1"/>
  <c r="AN77" i="1" s="1"/>
  <c r="AC77" i="1"/>
  <c r="AD77" i="1" s="1"/>
  <c r="T77" i="1"/>
  <c r="U77" i="1" s="1"/>
  <c r="P77" i="1"/>
  <c r="R77" i="1" s="1"/>
  <c r="N77" i="1"/>
  <c r="O77" i="1" s="1"/>
  <c r="AY76" i="1"/>
  <c r="AM76" i="1"/>
  <c r="AN76" i="1" s="1"/>
  <c r="AC76" i="1"/>
  <c r="AD76" i="1" s="1"/>
  <c r="T76" i="1"/>
  <c r="U76" i="1" s="1"/>
  <c r="P76" i="1"/>
  <c r="V76" i="1" s="1"/>
  <c r="N76" i="1"/>
  <c r="O76" i="1" s="1"/>
  <c r="AX115" i="1" l="1"/>
  <c r="AU115" i="1" s="1"/>
  <c r="AQ114" i="1"/>
  <c r="V77" i="1"/>
  <c r="Y77" i="1" s="1"/>
  <c r="AA77" i="1" s="1"/>
  <c r="AU114" i="1"/>
  <c r="AZ114" i="1"/>
  <c r="AU113" i="1"/>
  <c r="AZ113" i="1"/>
  <c r="AU116" i="1"/>
  <c r="AZ116" i="1"/>
  <c r="Y76" i="1"/>
  <c r="AA76" i="1" s="1"/>
  <c r="X76" i="1"/>
  <c r="AO76" i="1"/>
  <c r="R76" i="1"/>
  <c r="AZ115" i="1" l="1"/>
  <c r="AO77" i="1"/>
  <c r="AQ77" i="1" s="1"/>
  <c r="AZ77" i="1" s="1"/>
  <c r="X77" i="1"/>
  <c r="AR116" i="1"/>
  <c r="AT116" i="1" s="1"/>
  <c r="AW116" i="1"/>
  <c r="AR114" i="1"/>
  <c r="AT114" i="1" s="1"/>
  <c r="AW114" i="1"/>
  <c r="AR115" i="1"/>
  <c r="AT115" i="1" s="1"/>
  <c r="AW115" i="1"/>
  <c r="AR113" i="1"/>
  <c r="AT113" i="1" s="1"/>
  <c r="AW113" i="1"/>
  <c r="AX76" i="1"/>
  <c r="AQ76" i="1"/>
  <c r="AZ76" i="1" s="1"/>
  <c r="AX77" i="1" l="1"/>
  <c r="AY74" i="1"/>
  <c r="AM74" i="1"/>
  <c r="AL74" i="1"/>
  <c r="AC74" i="1"/>
  <c r="AD74" i="1" s="1"/>
  <c r="T74" i="1"/>
  <c r="U74" i="1" s="1"/>
  <c r="P74" i="1"/>
  <c r="R74" i="1" s="1"/>
  <c r="N74" i="1"/>
  <c r="O74" i="1" s="1"/>
  <c r="AY73" i="1"/>
  <c r="AM73" i="1"/>
  <c r="AL73" i="1"/>
  <c r="AC73" i="1"/>
  <c r="AD73" i="1" s="1"/>
  <c r="T73" i="1"/>
  <c r="U73" i="1" s="1"/>
  <c r="P73" i="1"/>
  <c r="V73" i="1" s="1"/>
  <c r="N73" i="1"/>
  <c r="O73" i="1" s="1"/>
  <c r="AY72" i="1"/>
  <c r="AM72" i="1"/>
  <c r="AN72" i="1" s="1"/>
  <c r="AC72" i="1"/>
  <c r="AD72" i="1" s="1"/>
  <c r="T72" i="1"/>
  <c r="U72" i="1" s="1"/>
  <c r="P72" i="1"/>
  <c r="V72" i="1" s="1"/>
  <c r="N72" i="1"/>
  <c r="O72" i="1" s="1"/>
  <c r="AY71" i="1"/>
  <c r="AX71" i="1"/>
  <c r="AQ71" i="1"/>
  <c r="AM71" i="1"/>
  <c r="AN71" i="1" s="1"/>
  <c r="AC71" i="1"/>
  <c r="AD71" i="1" s="1"/>
  <c r="V71" i="1"/>
  <c r="Y71" i="1" s="1"/>
  <c r="AA71" i="1" s="1"/>
  <c r="T71" i="1"/>
  <c r="U71" i="1" s="1"/>
  <c r="AY70" i="1"/>
  <c r="AM70" i="1"/>
  <c r="AL70" i="1"/>
  <c r="AC70" i="1"/>
  <c r="AD70" i="1" s="1"/>
  <c r="T70" i="1"/>
  <c r="U70" i="1" s="1"/>
  <c r="P70" i="1"/>
  <c r="V70" i="1" s="1"/>
  <c r="N70" i="1"/>
  <c r="O70" i="1" s="1"/>
  <c r="AY69" i="1"/>
  <c r="AM69" i="1"/>
  <c r="AL69" i="1"/>
  <c r="AC69" i="1"/>
  <c r="AD69" i="1" s="1"/>
  <c r="T69" i="1"/>
  <c r="U69" i="1" s="1"/>
  <c r="P69" i="1"/>
  <c r="V69" i="1" s="1"/>
  <c r="N69" i="1"/>
  <c r="O69" i="1" s="1"/>
  <c r="AV68" i="1"/>
  <c r="AS68" i="1" s="1"/>
  <c r="AM68" i="1"/>
  <c r="AN68" i="1" s="1"/>
  <c r="AI68" i="1"/>
  <c r="AJ68" i="1" s="1"/>
  <c r="AC68" i="1"/>
  <c r="AD68" i="1" s="1"/>
  <c r="T68" i="1"/>
  <c r="U68" i="1" s="1"/>
  <c r="L68" i="1"/>
  <c r="P68" i="1" s="1"/>
  <c r="AV67" i="1"/>
  <c r="AS67" i="1" s="1"/>
  <c r="AM67" i="1"/>
  <c r="AN67" i="1" s="1"/>
  <c r="AI67" i="1"/>
  <c r="AJ67" i="1" s="1"/>
  <c r="AC67" i="1"/>
  <c r="AD67" i="1" s="1"/>
  <c r="T67" i="1"/>
  <c r="U67" i="1" s="1"/>
  <c r="L67" i="1"/>
  <c r="P67" i="1" s="1"/>
  <c r="R67" i="1" s="1"/>
  <c r="AV66" i="1"/>
  <c r="AS66" i="1" s="1"/>
  <c r="AM66" i="1"/>
  <c r="AN66" i="1" s="1"/>
  <c r="AI66" i="1"/>
  <c r="AJ66" i="1" s="1"/>
  <c r="AC66" i="1"/>
  <c r="AD66" i="1" s="1"/>
  <c r="T66" i="1"/>
  <c r="U66" i="1" s="1"/>
  <c r="L66" i="1"/>
  <c r="N66" i="1" s="1"/>
  <c r="O66" i="1" s="1"/>
  <c r="AV65" i="1"/>
  <c r="AS65" i="1" s="1"/>
  <c r="AM65" i="1"/>
  <c r="AN65" i="1" s="1"/>
  <c r="AI65" i="1"/>
  <c r="AJ65" i="1" s="1"/>
  <c r="AC65" i="1"/>
  <c r="AD65" i="1" s="1"/>
  <c r="T65" i="1"/>
  <c r="U65" i="1" s="1"/>
  <c r="L65" i="1"/>
  <c r="P65" i="1" s="1"/>
  <c r="AV63" i="1"/>
  <c r="AY63" i="1" s="1"/>
  <c r="AU63" i="1"/>
  <c r="AX63" i="1" s="1"/>
  <c r="AQ63" i="1"/>
  <c r="AM63" i="1"/>
  <c r="AN63" i="1" s="1"/>
  <c r="AC63" i="1"/>
  <c r="AD63" i="1" s="1"/>
  <c r="V63" i="1"/>
  <c r="P63" i="1" s="1"/>
  <c r="R63" i="1" s="1"/>
  <c r="T63" i="1"/>
  <c r="U63" i="1" s="1"/>
  <c r="AX62" i="1"/>
  <c r="AV62" i="1"/>
  <c r="AU62" i="1"/>
  <c r="AQ62" i="1"/>
  <c r="AM62" i="1"/>
  <c r="AN62" i="1" s="1"/>
  <c r="AC62" i="1"/>
  <c r="AD62" i="1" s="1"/>
  <c r="V62" i="1"/>
  <c r="P62" i="1" s="1"/>
  <c r="R62" i="1" s="1"/>
  <c r="T62" i="1"/>
  <c r="AZ61" i="1"/>
  <c r="AV61" i="1"/>
  <c r="AS61" i="1" s="1"/>
  <c r="AT61" i="1" s="1"/>
  <c r="AU61" i="1"/>
  <c r="AX61" i="1" s="1"/>
  <c r="AQ61" i="1"/>
  <c r="AM61" i="1"/>
  <c r="AN61" i="1" s="1"/>
  <c r="AC61" i="1"/>
  <c r="AD61" i="1" s="1"/>
  <c r="V61" i="1"/>
  <c r="P61" i="1" s="1"/>
  <c r="T61" i="1"/>
  <c r="U61" i="1" s="1"/>
  <c r="N61" i="1"/>
  <c r="AV60" i="1"/>
  <c r="AY60" i="1" s="1"/>
  <c r="AU60" i="1"/>
  <c r="AX60" i="1" s="1"/>
  <c r="AQ60" i="1"/>
  <c r="AM60" i="1"/>
  <c r="AN60" i="1" s="1"/>
  <c r="AI60" i="1"/>
  <c r="AJ60" i="1" s="1"/>
  <c r="AC60" i="1"/>
  <c r="AD60" i="1" s="1"/>
  <c r="V60" i="1"/>
  <c r="Y60" i="1" s="1"/>
  <c r="AA60" i="1" s="1"/>
  <c r="T60" i="1"/>
  <c r="U60" i="1" s="1"/>
  <c r="N60" i="1"/>
  <c r="AV59" i="1"/>
  <c r="AS59" i="1" s="1"/>
  <c r="AT59" i="1" s="1"/>
  <c r="AM59" i="1"/>
  <c r="AN59" i="1" s="1"/>
  <c r="AI59" i="1"/>
  <c r="AJ59" i="1" s="1"/>
  <c r="AC59" i="1"/>
  <c r="AD59" i="1" s="1"/>
  <c r="AV58" i="1"/>
  <c r="AS58" i="1" s="1"/>
  <c r="AT58" i="1" s="1"/>
  <c r="AM58" i="1"/>
  <c r="AN58" i="1" s="1"/>
  <c r="AI58" i="1"/>
  <c r="AJ58" i="1" s="1"/>
  <c r="AC58" i="1"/>
  <c r="AD58" i="1" s="1"/>
  <c r="T58" i="1"/>
  <c r="U58" i="1" s="1"/>
  <c r="P58" i="1"/>
  <c r="N58" i="1"/>
  <c r="O58" i="1" s="1"/>
  <c r="AV57" i="1"/>
  <c r="AS57" i="1" s="1"/>
  <c r="AT57" i="1" s="1"/>
  <c r="AM57" i="1"/>
  <c r="AN57" i="1" s="1"/>
  <c r="AI57" i="1"/>
  <c r="AJ57" i="1" s="1"/>
  <c r="AC57" i="1"/>
  <c r="AD57" i="1" s="1"/>
  <c r="AV56" i="1"/>
  <c r="AS56" i="1" s="1"/>
  <c r="AT56" i="1" s="1"/>
  <c r="AM56" i="1"/>
  <c r="AN56" i="1" s="1"/>
  <c r="AI56" i="1"/>
  <c r="AJ56" i="1" s="1"/>
  <c r="AC56" i="1"/>
  <c r="AD56" i="1" s="1"/>
  <c r="T56" i="1"/>
  <c r="U56" i="1" s="1"/>
  <c r="P56" i="1"/>
  <c r="N56" i="1"/>
  <c r="O56" i="1" s="1"/>
  <c r="AV55" i="1"/>
  <c r="AS55" i="1" s="1"/>
  <c r="AT55" i="1" s="1"/>
  <c r="AM55" i="1"/>
  <c r="AN55" i="1" s="1"/>
  <c r="AI55" i="1"/>
  <c r="AJ55" i="1" s="1"/>
  <c r="AC55" i="1"/>
  <c r="AD55" i="1" s="1"/>
  <c r="AV54" i="1"/>
  <c r="AS54" i="1" s="1"/>
  <c r="AT54" i="1" s="1"/>
  <c r="AM54" i="1"/>
  <c r="AN54" i="1" s="1"/>
  <c r="AI54" i="1"/>
  <c r="AJ54" i="1" s="1"/>
  <c r="AC54" i="1"/>
  <c r="AD54" i="1" s="1"/>
  <c r="T54" i="1"/>
  <c r="U54" i="1" s="1"/>
  <c r="P54" i="1"/>
  <c r="N54" i="1"/>
  <c r="O54" i="1" s="1"/>
  <c r="AV53" i="1"/>
  <c r="AM53" i="1"/>
  <c r="AN53" i="1" s="1"/>
  <c r="AI53" i="1"/>
  <c r="AJ53" i="1" s="1"/>
  <c r="AC53" i="1"/>
  <c r="AD53" i="1" s="1"/>
  <c r="AV52" i="1"/>
  <c r="AS52" i="1" s="1"/>
  <c r="AT52" i="1" s="1"/>
  <c r="AM52" i="1"/>
  <c r="AN52" i="1" s="1"/>
  <c r="AI52" i="1"/>
  <c r="AJ52" i="1" s="1"/>
  <c r="AC52" i="1"/>
  <c r="AD52" i="1" s="1"/>
  <c r="T52" i="1"/>
  <c r="U52" i="1" s="1"/>
  <c r="P52" i="1"/>
  <c r="R52" i="1" s="1"/>
  <c r="N52" i="1"/>
  <c r="O52" i="1" s="1"/>
  <c r="AV51" i="1"/>
  <c r="AM51" i="1"/>
  <c r="AN51" i="1" s="1"/>
  <c r="AI51" i="1"/>
  <c r="AJ51" i="1" s="1"/>
  <c r="AC51" i="1"/>
  <c r="AD51" i="1" s="1"/>
  <c r="AV50" i="1"/>
  <c r="AS50" i="1" s="1"/>
  <c r="AT50" i="1" s="1"/>
  <c r="AM50" i="1"/>
  <c r="AN50" i="1" s="1"/>
  <c r="AI50" i="1"/>
  <c r="AJ50" i="1" s="1"/>
  <c r="AC50" i="1"/>
  <c r="AD50" i="1" s="1"/>
  <c r="T50" i="1"/>
  <c r="U50" i="1" s="1"/>
  <c r="P50" i="1"/>
  <c r="V51" i="1" s="1"/>
  <c r="N50" i="1"/>
  <c r="O50" i="1" s="1"/>
  <c r="AV49" i="1"/>
  <c r="AM49" i="1"/>
  <c r="AN49" i="1" s="1"/>
  <c r="AI49" i="1"/>
  <c r="AJ49" i="1" s="1"/>
  <c r="AC49" i="1"/>
  <c r="AD49" i="1" s="1"/>
  <c r="AV48" i="1"/>
  <c r="AS48" i="1" s="1"/>
  <c r="AT48" i="1" s="1"/>
  <c r="AM48" i="1"/>
  <c r="AN48" i="1" s="1"/>
  <c r="AI48" i="1"/>
  <c r="AJ48" i="1" s="1"/>
  <c r="AC48" i="1"/>
  <c r="AD48" i="1" s="1"/>
  <c r="T48" i="1"/>
  <c r="U48" i="1" s="1"/>
  <c r="P48" i="1"/>
  <c r="V48" i="1" s="1"/>
  <c r="N48" i="1"/>
  <c r="O48" i="1" s="1"/>
  <c r="AV47" i="1"/>
  <c r="AM47" i="1"/>
  <c r="AN47" i="1" s="1"/>
  <c r="AI47" i="1"/>
  <c r="AJ47" i="1" s="1"/>
  <c r="AC47" i="1"/>
  <c r="AD47" i="1" s="1"/>
  <c r="AV46" i="1"/>
  <c r="AS46" i="1" s="1"/>
  <c r="AT46" i="1" s="1"/>
  <c r="AM46" i="1"/>
  <c r="AN46" i="1" s="1"/>
  <c r="AI46" i="1"/>
  <c r="AJ46" i="1" s="1"/>
  <c r="AC46" i="1"/>
  <c r="AD46" i="1" s="1"/>
  <c r="T46" i="1"/>
  <c r="U46" i="1" s="1"/>
  <c r="P46" i="1"/>
  <c r="V46" i="1" s="1"/>
  <c r="N46" i="1"/>
  <c r="O46" i="1" s="1"/>
  <c r="AV45" i="1"/>
  <c r="AM45" i="1"/>
  <c r="AN45" i="1" s="1"/>
  <c r="AI45" i="1"/>
  <c r="AJ45" i="1" s="1"/>
  <c r="AC45" i="1"/>
  <c r="AD45" i="1" s="1"/>
  <c r="AV44" i="1"/>
  <c r="AS44" i="1" s="1"/>
  <c r="AT44" i="1" s="1"/>
  <c r="AM44" i="1"/>
  <c r="AN44" i="1" s="1"/>
  <c r="AI44" i="1"/>
  <c r="AJ44" i="1" s="1"/>
  <c r="AC44" i="1"/>
  <c r="AD44" i="1" s="1"/>
  <c r="T44" i="1"/>
  <c r="U44" i="1" s="1"/>
  <c r="P44" i="1"/>
  <c r="R44" i="1" s="1"/>
  <c r="N44" i="1"/>
  <c r="O44" i="1" s="1"/>
  <c r="AV43" i="1"/>
  <c r="AM43" i="1"/>
  <c r="AN43" i="1" s="1"/>
  <c r="AI43" i="1"/>
  <c r="AJ43" i="1" s="1"/>
  <c r="AC43" i="1"/>
  <c r="AD43" i="1" s="1"/>
  <c r="AV42" i="1"/>
  <c r="AS42" i="1" s="1"/>
  <c r="AT42" i="1" s="1"/>
  <c r="AM42" i="1"/>
  <c r="AN42" i="1" s="1"/>
  <c r="AI42" i="1"/>
  <c r="AJ42" i="1" s="1"/>
  <c r="AC42" i="1"/>
  <c r="AD42" i="1" s="1"/>
  <c r="T42" i="1"/>
  <c r="U42" i="1" s="1"/>
  <c r="P42" i="1"/>
  <c r="V43" i="1" s="1"/>
  <c r="N42" i="1"/>
  <c r="O42" i="1" s="1"/>
  <c r="AV41" i="1"/>
  <c r="AM41" i="1"/>
  <c r="AN41" i="1" s="1"/>
  <c r="AI41" i="1"/>
  <c r="AJ41" i="1" s="1"/>
  <c r="AC41" i="1"/>
  <c r="AD41" i="1" s="1"/>
  <c r="AV40" i="1"/>
  <c r="AS40" i="1" s="1"/>
  <c r="AT40" i="1" s="1"/>
  <c r="AM40" i="1"/>
  <c r="AN40" i="1" s="1"/>
  <c r="AI40" i="1"/>
  <c r="AJ40" i="1" s="1"/>
  <c r="AC40" i="1"/>
  <c r="AD40" i="1" s="1"/>
  <c r="T40" i="1"/>
  <c r="U40" i="1" s="1"/>
  <c r="P40" i="1"/>
  <c r="V40" i="1" s="1"/>
  <c r="N40" i="1"/>
  <c r="O40" i="1" s="1"/>
  <c r="AV39" i="1"/>
  <c r="AM39" i="1"/>
  <c r="AN39" i="1" s="1"/>
  <c r="AI39" i="1"/>
  <c r="AJ39" i="1" s="1"/>
  <c r="AC39" i="1"/>
  <c r="AD39" i="1" s="1"/>
  <c r="AV38" i="1"/>
  <c r="AS38" i="1" s="1"/>
  <c r="AT38" i="1" s="1"/>
  <c r="AM38" i="1"/>
  <c r="AN38" i="1" s="1"/>
  <c r="AI38" i="1"/>
  <c r="AJ38" i="1" s="1"/>
  <c r="AC38" i="1"/>
  <c r="AD38" i="1" s="1"/>
  <c r="T38" i="1"/>
  <c r="U38" i="1" s="1"/>
  <c r="P38" i="1"/>
  <c r="V38" i="1" s="1"/>
  <c r="X38" i="1" s="1"/>
  <c r="N38" i="1"/>
  <c r="O38" i="1" s="1"/>
  <c r="P71" i="1" l="1"/>
  <c r="R71" i="1" s="1"/>
  <c r="X60" i="1"/>
  <c r="N67" i="1"/>
  <c r="O67" i="1" s="1"/>
  <c r="R70" i="1"/>
  <c r="V74" i="1"/>
  <c r="Y74" i="1" s="1"/>
  <c r="AA74" i="1" s="1"/>
  <c r="V39" i="1"/>
  <c r="X39" i="1" s="1"/>
  <c r="P60" i="1"/>
  <c r="R38" i="1"/>
  <c r="AN74" i="1"/>
  <c r="AZ71" i="1"/>
  <c r="AS60" i="1"/>
  <c r="AT60" i="1" s="1"/>
  <c r="AS63" i="1"/>
  <c r="AT63" i="1" s="1"/>
  <c r="R50" i="1"/>
  <c r="V67" i="1"/>
  <c r="AO67" i="1" s="1"/>
  <c r="AQ67" i="1" s="1"/>
  <c r="AN73" i="1"/>
  <c r="AO74" i="1"/>
  <c r="AX74" i="1" s="1"/>
  <c r="AZ74" i="1" s="1"/>
  <c r="AN69" i="1"/>
  <c r="X71" i="1"/>
  <c r="V50" i="1"/>
  <c r="X50" i="1" s="1"/>
  <c r="N65" i="1"/>
  <c r="O65" i="1" s="1"/>
  <c r="AO70" i="1"/>
  <c r="AX70" i="1" s="1"/>
  <c r="AZ70" i="1" s="1"/>
  <c r="R72" i="1"/>
  <c r="R69" i="1"/>
  <c r="AN70" i="1"/>
  <c r="X73" i="1"/>
  <c r="Y73" i="1"/>
  <c r="AA73" i="1" s="1"/>
  <c r="Y70" i="1"/>
  <c r="AA70" i="1" s="1"/>
  <c r="X70" i="1"/>
  <c r="V68" i="1"/>
  <c r="R68" i="1"/>
  <c r="AO73" i="1"/>
  <c r="Y69" i="1"/>
  <c r="AA69" i="1" s="1"/>
  <c r="X69" i="1"/>
  <c r="AO69" i="1"/>
  <c r="R65" i="1"/>
  <c r="V65" i="1"/>
  <c r="Y72" i="1"/>
  <c r="X72" i="1"/>
  <c r="P66" i="1"/>
  <c r="N68" i="1"/>
  <c r="O68" i="1" s="1"/>
  <c r="R73" i="1"/>
  <c r="X74" i="1"/>
  <c r="AE51" i="1"/>
  <c r="AG51" i="1" s="1"/>
  <c r="AO51" i="1"/>
  <c r="Y51" i="1"/>
  <c r="AA51" i="1" s="1"/>
  <c r="X51" i="1"/>
  <c r="X48" i="1"/>
  <c r="AE48" i="1"/>
  <c r="Y48" i="1"/>
  <c r="AA48" i="1" s="1"/>
  <c r="X46" i="1"/>
  <c r="Y46" i="1"/>
  <c r="AA46" i="1" s="1"/>
  <c r="AE46" i="1"/>
  <c r="X40" i="1"/>
  <c r="AE40" i="1"/>
  <c r="Y40" i="1"/>
  <c r="AA40" i="1" s="1"/>
  <c r="AE43" i="1"/>
  <c r="AG43" i="1" s="1"/>
  <c r="AO43" i="1"/>
  <c r="Y43" i="1"/>
  <c r="AA43" i="1" s="1"/>
  <c r="X43" i="1"/>
  <c r="R40" i="1"/>
  <c r="V41" i="1"/>
  <c r="AS47" i="1"/>
  <c r="AT47" i="1" s="1"/>
  <c r="V45" i="1"/>
  <c r="V42" i="1"/>
  <c r="AS53" i="1"/>
  <c r="AT53" i="1" s="1"/>
  <c r="AS39" i="1"/>
  <c r="AT39" i="1" s="1"/>
  <c r="V44" i="1"/>
  <c r="R48" i="1"/>
  <c r="V49" i="1"/>
  <c r="Y39" i="1"/>
  <c r="AA39" i="1" s="1"/>
  <c r="AS45" i="1"/>
  <c r="AT45" i="1" s="1"/>
  <c r="AS51" i="1"/>
  <c r="AT51" i="1" s="1"/>
  <c r="R42" i="1"/>
  <c r="AS49" i="1"/>
  <c r="AT49" i="1" s="1"/>
  <c r="Y38" i="1"/>
  <c r="AA38" i="1" s="1"/>
  <c r="AZ63" i="1"/>
  <c r="R46" i="1"/>
  <c r="V47" i="1"/>
  <c r="AE50" i="1"/>
  <c r="V57" i="1"/>
  <c r="R56" i="1"/>
  <c r="V56" i="1"/>
  <c r="AE38" i="1"/>
  <c r="AS41" i="1"/>
  <c r="AT41" i="1" s="1"/>
  <c r="V55" i="1"/>
  <c r="R54" i="1"/>
  <c r="V54" i="1"/>
  <c r="R61" i="1"/>
  <c r="M61" i="1"/>
  <c r="O61" i="1" s="1"/>
  <c r="AW62" i="1"/>
  <c r="AS62" i="1"/>
  <c r="AT62" i="1" s="1"/>
  <c r="AY62" i="1"/>
  <c r="AZ62" i="1" s="1"/>
  <c r="AZ60" i="1"/>
  <c r="V53" i="1"/>
  <c r="V52" i="1"/>
  <c r="AS43" i="1"/>
  <c r="AT43" i="1" s="1"/>
  <c r="V59" i="1"/>
  <c r="R58" i="1"/>
  <c r="V58" i="1"/>
  <c r="X61" i="1"/>
  <c r="X63" i="1"/>
  <c r="AE60" i="1"/>
  <c r="AG60" i="1" s="1"/>
  <c r="Y61" i="1"/>
  <c r="AA61" i="1" s="1"/>
  <c r="Y63" i="1"/>
  <c r="AA63" i="1" s="1"/>
  <c r="X62" i="1"/>
  <c r="AW60" i="1"/>
  <c r="AW61" i="1"/>
  <c r="Y62" i="1"/>
  <c r="AA62" i="1" s="1"/>
  <c r="AW63" i="1"/>
  <c r="AQ70" i="1" l="1"/>
  <c r="AE67" i="1"/>
  <c r="AG67" i="1" s="1"/>
  <c r="Y67" i="1"/>
  <c r="AA67" i="1" s="1"/>
  <c r="X67" i="1"/>
  <c r="AO39" i="1"/>
  <c r="AE39" i="1"/>
  <c r="AG39" i="1" s="1"/>
  <c r="AX67" i="1"/>
  <c r="AZ67" i="1" s="1"/>
  <c r="R60" i="1"/>
  <c r="M60" i="1"/>
  <c r="O60" i="1" s="1"/>
  <c r="AQ74" i="1"/>
  <c r="Y50" i="1"/>
  <c r="AA50" i="1" s="1"/>
  <c r="AX69" i="1"/>
  <c r="AZ69" i="1" s="1"/>
  <c r="AQ69" i="1"/>
  <c r="AE68" i="1"/>
  <c r="AG68" i="1" s="1"/>
  <c r="AO68" i="1"/>
  <c r="Y68" i="1"/>
  <c r="AA68" i="1" s="1"/>
  <c r="X68" i="1"/>
  <c r="AE65" i="1"/>
  <c r="AG65" i="1" s="1"/>
  <c r="AO65" i="1"/>
  <c r="Y65" i="1"/>
  <c r="AA65" i="1" s="1"/>
  <c r="X65" i="1"/>
  <c r="AA72" i="1"/>
  <c r="AO72" i="1"/>
  <c r="V66" i="1"/>
  <c r="R66" i="1"/>
  <c r="AX73" i="1"/>
  <c r="AZ73" i="1" s="1"/>
  <c r="AQ73" i="1"/>
  <c r="AE59" i="1"/>
  <c r="AG59" i="1" s="1"/>
  <c r="AO59" i="1"/>
  <c r="Y59" i="1"/>
  <c r="AA59" i="1" s="1"/>
  <c r="X59" i="1"/>
  <c r="AG38" i="1"/>
  <c r="AO38" i="1"/>
  <c r="AG46" i="1"/>
  <c r="AO46" i="1"/>
  <c r="AU39" i="1"/>
  <c r="AW39" i="1" s="1"/>
  <c r="AQ39" i="1"/>
  <c r="X42" i="1"/>
  <c r="Y42" i="1"/>
  <c r="AA42" i="1" s="1"/>
  <c r="AE42" i="1"/>
  <c r="X52" i="1"/>
  <c r="Y52" i="1"/>
  <c r="AA52" i="1" s="1"/>
  <c r="AE52" i="1"/>
  <c r="X54" i="1"/>
  <c r="AE54" i="1"/>
  <c r="Y54" i="1"/>
  <c r="AA54" i="1" s="1"/>
  <c r="AE57" i="1"/>
  <c r="AG57" i="1" s="1"/>
  <c r="AO57" i="1"/>
  <c r="Y57" i="1"/>
  <c r="AA57" i="1" s="1"/>
  <c r="X57" i="1"/>
  <c r="AE49" i="1"/>
  <c r="AG49" i="1" s="1"/>
  <c r="AO49" i="1"/>
  <c r="Y49" i="1"/>
  <c r="AA49" i="1" s="1"/>
  <c r="X49" i="1"/>
  <c r="AE45" i="1"/>
  <c r="AG45" i="1" s="1"/>
  <c r="AO45" i="1"/>
  <c r="Y45" i="1"/>
  <c r="AA45" i="1" s="1"/>
  <c r="X45" i="1"/>
  <c r="AQ43" i="1"/>
  <c r="AU43" i="1"/>
  <c r="AW43" i="1" s="1"/>
  <c r="AQ51" i="1"/>
  <c r="AU51" i="1"/>
  <c r="AW51" i="1" s="1"/>
  <c r="Y56" i="1"/>
  <c r="AA56" i="1" s="1"/>
  <c r="X56" i="1"/>
  <c r="AE56" i="1"/>
  <c r="AE53" i="1"/>
  <c r="AG53" i="1" s="1"/>
  <c r="AO53" i="1"/>
  <c r="Y53" i="1"/>
  <c r="AA53" i="1" s="1"/>
  <c r="X53" i="1"/>
  <c r="AG50" i="1"/>
  <c r="AO50" i="1"/>
  <c r="AG48" i="1"/>
  <c r="AO48" i="1"/>
  <c r="AE55" i="1"/>
  <c r="AG55" i="1" s="1"/>
  <c r="AO55" i="1"/>
  <c r="Y55" i="1"/>
  <c r="AA55" i="1" s="1"/>
  <c r="X55" i="1"/>
  <c r="AE47" i="1"/>
  <c r="AG47" i="1" s="1"/>
  <c r="AO47" i="1"/>
  <c r="Y47" i="1"/>
  <c r="AA47" i="1" s="1"/>
  <c r="X47" i="1"/>
  <c r="X44" i="1"/>
  <c r="Y44" i="1"/>
  <c r="AA44" i="1" s="1"/>
  <c r="AE44" i="1"/>
  <c r="Y58" i="1"/>
  <c r="AA58" i="1" s="1"/>
  <c r="X58" i="1"/>
  <c r="AE58" i="1"/>
  <c r="AG40" i="1"/>
  <c r="AO40" i="1"/>
  <c r="AE41" i="1"/>
  <c r="AG41" i="1" s="1"/>
  <c r="AO41" i="1"/>
  <c r="Y41" i="1"/>
  <c r="AA41" i="1" s="1"/>
  <c r="X41" i="1"/>
  <c r="AX43" i="1" l="1"/>
  <c r="AZ43" i="1" s="1"/>
  <c r="AU67" i="1"/>
  <c r="AR67" i="1" s="1"/>
  <c r="AT67" i="1" s="1"/>
  <c r="Y66" i="1"/>
  <c r="AA66" i="1" s="1"/>
  <c r="X66" i="1"/>
  <c r="AE66" i="1"/>
  <c r="AG66" i="1" s="1"/>
  <c r="AO66" i="1"/>
  <c r="AQ68" i="1"/>
  <c r="AX68" i="1"/>
  <c r="AQ65" i="1"/>
  <c r="AX65" i="1"/>
  <c r="AX72" i="1"/>
  <c r="AZ72" i="1" s="1"/>
  <c r="AQ72" i="1"/>
  <c r="AU47" i="1"/>
  <c r="AW47" i="1" s="1"/>
  <c r="AQ47" i="1"/>
  <c r="AU50" i="1"/>
  <c r="AW50" i="1" s="1"/>
  <c r="AQ50" i="1"/>
  <c r="AU55" i="1"/>
  <c r="AW55" i="1" s="1"/>
  <c r="AQ55" i="1"/>
  <c r="AU45" i="1"/>
  <c r="AW45" i="1" s="1"/>
  <c r="AQ45" i="1"/>
  <c r="AG42" i="1"/>
  <c r="AO42" i="1"/>
  <c r="AU38" i="1"/>
  <c r="AW38" i="1" s="1"/>
  <c r="AQ38" i="1"/>
  <c r="AG54" i="1"/>
  <c r="AO54" i="1"/>
  <c r="AG58" i="1"/>
  <c r="AO58" i="1"/>
  <c r="AU41" i="1"/>
  <c r="AW41" i="1" s="1"/>
  <c r="AQ41" i="1"/>
  <c r="AU53" i="1"/>
  <c r="AW53" i="1" s="1"/>
  <c r="AQ53" i="1"/>
  <c r="AQ46" i="1"/>
  <c r="AU46" i="1"/>
  <c r="AW46" i="1" s="1"/>
  <c r="AU57" i="1"/>
  <c r="AW57" i="1" s="1"/>
  <c r="AQ57" i="1"/>
  <c r="AG44" i="1"/>
  <c r="AO44" i="1"/>
  <c r="AX51" i="1"/>
  <c r="AZ51" i="1" s="1"/>
  <c r="AQ49" i="1"/>
  <c r="AU49" i="1"/>
  <c r="AW49" i="1" s="1"/>
  <c r="AU59" i="1"/>
  <c r="AW59" i="1" s="1"/>
  <c r="AQ59" i="1"/>
  <c r="AQ40" i="1"/>
  <c r="AU40" i="1"/>
  <c r="AW40" i="1" s="1"/>
  <c r="AQ48" i="1"/>
  <c r="AU48" i="1"/>
  <c r="AW48" i="1" s="1"/>
  <c r="AG56" i="1"/>
  <c r="AO56" i="1"/>
  <c r="AG52" i="1"/>
  <c r="AO52" i="1"/>
  <c r="AX39" i="1"/>
  <c r="AZ39" i="1" s="1"/>
  <c r="AW67" i="1" l="1"/>
  <c r="AX55" i="1"/>
  <c r="AZ55" i="1" s="1"/>
  <c r="AX41" i="1"/>
  <c r="AZ41" i="1" s="1"/>
  <c r="AX46" i="1"/>
  <c r="AZ46" i="1" s="1"/>
  <c r="AX50" i="1"/>
  <c r="AZ50" i="1" s="1"/>
  <c r="AX49" i="1"/>
  <c r="AZ49" i="1" s="1"/>
  <c r="AX59" i="1"/>
  <c r="AZ59" i="1" s="1"/>
  <c r="AX57" i="1"/>
  <c r="AZ57" i="1" s="1"/>
  <c r="AZ65" i="1"/>
  <c r="AU65" i="1"/>
  <c r="AZ68" i="1"/>
  <c r="AU68" i="1"/>
  <c r="AQ66" i="1"/>
  <c r="AX66" i="1"/>
  <c r="AX38" i="1"/>
  <c r="AZ38" i="1" s="1"/>
  <c r="AQ42" i="1"/>
  <c r="AU42" i="1"/>
  <c r="AW42" i="1" s="1"/>
  <c r="AX48" i="1"/>
  <c r="AZ48" i="1" s="1"/>
  <c r="AQ58" i="1"/>
  <c r="AU58" i="1"/>
  <c r="AW58" i="1" s="1"/>
  <c r="AU52" i="1"/>
  <c r="AW52" i="1" s="1"/>
  <c r="AQ52" i="1"/>
  <c r="AX40" i="1"/>
  <c r="AZ40" i="1" s="1"/>
  <c r="AU44" i="1"/>
  <c r="AW44" i="1" s="1"/>
  <c r="AQ44" i="1"/>
  <c r="AQ54" i="1"/>
  <c r="AU54" i="1"/>
  <c r="AW54" i="1" s="1"/>
  <c r="AX45" i="1"/>
  <c r="AZ45" i="1" s="1"/>
  <c r="AQ56" i="1"/>
  <c r="AU56" i="1"/>
  <c r="AW56" i="1" s="1"/>
  <c r="AX53" i="1"/>
  <c r="AZ53" i="1" s="1"/>
  <c r="AX47" i="1"/>
  <c r="AZ47" i="1" s="1"/>
  <c r="AX42" i="1" l="1"/>
  <c r="AZ42" i="1" s="1"/>
  <c r="AR65" i="1"/>
  <c r="AT65" i="1" s="1"/>
  <c r="AW65" i="1"/>
  <c r="AR68" i="1"/>
  <c r="AT68" i="1" s="1"/>
  <c r="AW68" i="1"/>
  <c r="AZ66" i="1"/>
  <c r="AU66" i="1"/>
  <c r="AX54" i="1"/>
  <c r="AZ54" i="1" s="1"/>
  <c r="AX52" i="1"/>
  <c r="AZ52" i="1" s="1"/>
  <c r="AX58" i="1"/>
  <c r="AZ58" i="1" s="1"/>
  <c r="AX56" i="1"/>
  <c r="AZ56" i="1" s="1"/>
  <c r="AX44" i="1"/>
  <c r="AZ44" i="1" s="1"/>
  <c r="AR66" i="1" l="1"/>
  <c r="AT66" i="1" s="1"/>
  <c r="AW66" i="1"/>
  <c r="AU36" i="1"/>
  <c r="AX36" i="1" s="1"/>
  <c r="AZ36" i="1" s="1"/>
  <c r="AT36" i="1"/>
  <c r="AQ36" i="1"/>
  <c r="AM36" i="1"/>
  <c r="AL36" i="1"/>
  <c r="V36" i="1" s="1"/>
  <c r="P36" i="1" s="1"/>
  <c r="R36" i="1" s="1"/>
  <c r="AC36" i="1"/>
  <c r="AD36" i="1" s="1"/>
  <c r="T36" i="1"/>
  <c r="U36" i="1" s="1"/>
  <c r="O36" i="1"/>
  <c r="AV35" i="1"/>
  <c r="AY35" i="1" s="1"/>
  <c r="AT35" i="1"/>
  <c r="AM35" i="1"/>
  <c r="AN35" i="1" s="1"/>
  <c r="AF35" i="1"/>
  <c r="AG35" i="1" s="1"/>
  <c r="T35" i="1"/>
  <c r="U35" i="1" s="1"/>
  <c r="P35" i="1"/>
  <c r="R35" i="1" s="1"/>
  <c r="N35" i="1"/>
  <c r="O35" i="1" s="1"/>
  <c r="AV34" i="1"/>
  <c r="AU34" i="1"/>
  <c r="AX34" i="1" s="1"/>
  <c r="AZ34" i="1" s="1"/>
  <c r="AQ34" i="1"/>
  <c r="AM34" i="1"/>
  <c r="AN34" i="1" s="1"/>
  <c r="AF34" i="1"/>
  <c r="AG34" i="1" s="1"/>
  <c r="AC34" i="1"/>
  <c r="AD34" i="1" s="1"/>
  <c r="V34" i="1"/>
  <c r="P34" i="1" s="1"/>
  <c r="Q34" i="1"/>
  <c r="T34" i="1" s="1"/>
  <c r="U34" i="1" s="1"/>
  <c r="AV33" i="1"/>
  <c r="AS33" i="1" s="1"/>
  <c r="AT33" i="1" s="1"/>
  <c r="AU33" i="1"/>
  <c r="AX33" i="1" s="1"/>
  <c r="AZ33" i="1" s="1"/>
  <c r="AQ33" i="1"/>
  <c r="AM33" i="1"/>
  <c r="AN33" i="1" s="1"/>
  <c r="AF33" i="1"/>
  <c r="AG33" i="1" s="1"/>
  <c r="AC33" i="1"/>
  <c r="AD33" i="1" s="1"/>
  <c r="V33" i="1"/>
  <c r="AH33" i="1" s="1"/>
  <c r="AJ33" i="1" s="1"/>
  <c r="Q33" i="1"/>
  <c r="T33" i="1" s="1"/>
  <c r="U33" i="1" s="1"/>
  <c r="AV32" i="1"/>
  <c r="AS32" i="1" s="1"/>
  <c r="AT32" i="1" s="1"/>
  <c r="AO32" i="1"/>
  <c r="AQ32" i="1" s="1"/>
  <c r="AM32" i="1"/>
  <c r="AN32" i="1" s="1"/>
  <c r="AF32" i="1"/>
  <c r="AG32" i="1" s="1"/>
  <c r="AC32" i="1"/>
  <c r="AD32" i="1" s="1"/>
  <c r="T32" i="1"/>
  <c r="U32" i="1" s="1"/>
  <c r="AV31" i="1"/>
  <c r="AS31" i="1" s="1"/>
  <c r="AT31" i="1" s="1"/>
  <c r="AM31" i="1"/>
  <c r="AN31" i="1" s="1"/>
  <c r="AF31" i="1"/>
  <c r="AG31" i="1" s="1"/>
  <c r="AC31" i="1"/>
  <c r="AD31" i="1" s="1"/>
  <c r="T31" i="1"/>
  <c r="U31" i="1" s="1"/>
  <c r="AV30" i="1"/>
  <c r="AS30" i="1" s="1"/>
  <c r="AT30" i="1" s="1"/>
  <c r="AM30" i="1"/>
  <c r="AN30" i="1" s="1"/>
  <c r="AF30" i="1"/>
  <c r="AG30" i="1" s="1"/>
  <c r="AC30" i="1"/>
  <c r="AD30" i="1" s="1"/>
  <c r="T30" i="1"/>
  <c r="U30" i="1" s="1"/>
  <c r="L30" i="1"/>
  <c r="P30" i="1" s="1"/>
  <c r="X33" i="1" l="1"/>
  <c r="AN36" i="1"/>
  <c r="Y34" i="1"/>
  <c r="AA34" i="1" s="1"/>
  <c r="AW34" i="1"/>
  <c r="V35" i="1"/>
  <c r="X35" i="1" s="1"/>
  <c r="Y33" i="1"/>
  <c r="AA33" i="1" s="1"/>
  <c r="N30" i="1"/>
  <c r="O30" i="1" s="1"/>
  <c r="N33" i="1"/>
  <c r="P33" i="1"/>
  <c r="M33" i="1" s="1"/>
  <c r="AW35" i="1"/>
  <c r="AS34" i="1"/>
  <c r="AT34" i="1" s="1"/>
  <c r="Y36" i="1"/>
  <c r="AA36" i="1" s="1"/>
  <c r="V30" i="1"/>
  <c r="R30" i="1"/>
  <c r="R34" i="1"/>
  <c r="L31" i="1"/>
  <c r="AH32" i="1"/>
  <c r="AU32" i="1"/>
  <c r="AW32" i="1" s="1"/>
  <c r="AH35" i="1"/>
  <c r="AJ35" i="1" s="1"/>
  <c r="AH34" i="1"/>
  <c r="AJ34" i="1" s="1"/>
  <c r="X36" i="1"/>
  <c r="X34" i="1"/>
  <c r="AW36" i="1"/>
  <c r="AW33" i="1"/>
  <c r="AO35" i="1" l="1"/>
  <c r="AQ35" i="1" s="1"/>
  <c r="R33" i="1"/>
  <c r="AX32" i="1"/>
  <c r="AZ32" i="1" s="1"/>
  <c r="L34" i="1"/>
  <c r="M34" i="1" s="1"/>
  <c r="O33" i="1"/>
  <c r="N34" i="1"/>
  <c r="O34" i="1" s="1"/>
  <c r="AJ32" i="1"/>
  <c r="V32" i="1"/>
  <c r="P31" i="1"/>
  <c r="N31" i="1"/>
  <c r="O31" i="1" s="1"/>
  <c r="AX35" i="1"/>
  <c r="AZ35" i="1" s="1"/>
  <c r="AO30" i="1"/>
  <c r="X30" i="1"/>
  <c r="AH30" i="1"/>
  <c r="AJ30" i="1" s="1"/>
  <c r="Y30" i="1"/>
  <c r="AA30" i="1" s="1"/>
  <c r="V31" i="1" l="1"/>
  <c r="R31" i="1"/>
  <c r="P32" i="1"/>
  <c r="R32" i="1" s="1"/>
  <c r="Y32" i="1"/>
  <c r="AA32" i="1" s="1"/>
  <c r="X32" i="1"/>
  <c r="AU30" i="1"/>
  <c r="AW30" i="1" s="1"/>
  <c r="AQ30" i="1"/>
  <c r="AH31" i="1" l="1"/>
  <c r="AJ31" i="1" s="1"/>
  <c r="AO31" i="1"/>
  <c r="Y31" i="1"/>
  <c r="AA31" i="1" s="1"/>
  <c r="X31" i="1"/>
  <c r="AX30" i="1"/>
  <c r="AZ30" i="1" s="1"/>
  <c r="AU31" i="1" l="1"/>
  <c r="AW31" i="1" s="1"/>
  <c r="AQ31" i="1"/>
  <c r="AX31" i="1" l="1"/>
  <c r="AZ31" i="1" s="1"/>
  <c r="AY7" i="1" l="1"/>
  <c r="AM7" i="1"/>
  <c r="AN7" i="1" s="1"/>
  <c r="AC7" i="1"/>
  <c r="AD7" i="1" s="1"/>
  <c r="T7" i="1"/>
  <c r="U7" i="1" s="1"/>
  <c r="P7" i="1"/>
  <c r="AE7" i="1" s="1"/>
  <c r="N7" i="1"/>
  <c r="O7" i="1" s="1"/>
  <c r="AO7" i="1" l="1"/>
  <c r="AG7" i="1"/>
  <c r="R7" i="1"/>
  <c r="AX7" i="1" l="1"/>
  <c r="AQ7" i="1"/>
  <c r="AZ7" i="1" s="1"/>
  <c r="AY5" i="1" l="1"/>
  <c r="AM5" i="1"/>
  <c r="AN5" i="1" s="1"/>
  <c r="V5" i="1"/>
  <c r="AO5" i="1" s="1"/>
  <c r="AX5" i="1" s="1"/>
  <c r="T5" i="1"/>
  <c r="U5" i="1" s="1"/>
  <c r="R5" i="1"/>
  <c r="AY4" i="1"/>
  <c r="AM4" i="1"/>
  <c r="AN4" i="1" s="1"/>
  <c r="V4" i="1"/>
  <c r="AO4" i="1" s="1"/>
  <c r="T4" i="1"/>
  <c r="U4" i="1" s="1"/>
  <c r="R4" i="1"/>
  <c r="AY3" i="1"/>
  <c r="AM3" i="1"/>
  <c r="AN3" i="1" s="1"/>
  <c r="V3" i="1"/>
  <c r="AO3" i="1" s="1"/>
  <c r="T3" i="1"/>
  <c r="U3" i="1" s="1"/>
  <c r="R3" i="1"/>
  <c r="AY2" i="1"/>
  <c r="AM2" i="1"/>
  <c r="AN2" i="1" s="1"/>
  <c r="V2" i="1"/>
  <c r="X2" i="1" s="1"/>
  <c r="T2" i="1"/>
  <c r="U2" i="1" s="1"/>
  <c r="R2" i="1"/>
  <c r="X5" i="1" l="1"/>
  <c r="AZ5" i="1"/>
  <c r="AX3" i="1"/>
  <c r="AZ3" i="1" s="1"/>
  <c r="AQ3" i="1"/>
  <c r="AX4" i="1"/>
  <c r="AZ4" i="1" s="1"/>
  <c r="AQ4" i="1"/>
  <c r="X4" i="1"/>
  <c r="X3" i="1"/>
  <c r="AQ5" i="1"/>
  <c r="AO2" i="1"/>
  <c r="AQ2" i="1" l="1"/>
  <c r="AX2" i="1"/>
  <c r="AZ2" i="1" s="1"/>
</calcChain>
</file>

<file path=xl/sharedStrings.xml><?xml version="1.0" encoding="utf-8"?>
<sst xmlns="http://schemas.openxmlformats.org/spreadsheetml/2006/main" count="2153" uniqueCount="302">
  <si>
    <t>Platform</t>
  </si>
  <si>
    <t>Campaign Type</t>
  </si>
  <si>
    <t>Start_Date</t>
  </si>
  <si>
    <t>End_Date</t>
  </si>
  <si>
    <t>Platform_Format</t>
  </si>
  <si>
    <t>TG_Profile</t>
  </si>
  <si>
    <t>Regions</t>
  </si>
  <si>
    <t>Ad_Descriptor</t>
  </si>
  <si>
    <t>Edit</t>
  </si>
  <si>
    <t>Creative_Placement</t>
  </si>
  <si>
    <t>TG_Universe</t>
  </si>
  <si>
    <t xml:space="preserve">R/F Target % </t>
  </si>
  <si>
    <t>Delivered R/F Target %</t>
  </si>
  <si>
    <t>% Delivered R/F Target %</t>
  </si>
  <si>
    <t>Est.Net Reach</t>
  </si>
  <si>
    <t>Delivered Reach</t>
  </si>
  <si>
    <t>% Delivered Reach</t>
  </si>
  <si>
    <t>Est.Avg. Freq</t>
  </si>
  <si>
    <t>Delivered Avg. Freq</t>
  </si>
  <si>
    <t>% Delivered Avg. Freq</t>
  </si>
  <si>
    <t>Est.Impressions</t>
  </si>
  <si>
    <t>Delivered Impressions</t>
  </si>
  <si>
    <t>% Delivered Impressions</t>
  </si>
  <si>
    <t xml:space="preserve"> Est. Clicks</t>
  </si>
  <si>
    <t>Delivered Clicks</t>
  </si>
  <si>
    <t>% Delivered Clicks</t>
  </si>
  <si>
    <t>Est.CTR %</t>
  </si>
  <si>
    <t>Delivered CTR</t>
  </si>
  <si>
    <t>% Delivered CTR</t>
  </si>
  <si>
    <t>Est Video Views</t>
  </si>
  <si>
    <t>Delivered Views</t>
  </si>
  <si>
    <t>% Delivered Views</t>
  </si>
  <si>
    <t>Est.VR %</t>
  </si>
  <si>
    <t>VTR Delivered</t>
  </si>
  <si>
    <t>% Delivered VTR</t>
  </si>
  <si>
    <t>Buy Type</t>
  </si>
  <si>
    <t>Est.Rate (Rs)</t>
  </si>
  <si>
    <t>Delivered Rate (Rs)</t>
  </si>
  <si>
    <t>% Delivered Rate (Rs)</t>
  </si>
  <si>
    <t>Net Media Amount</t>
  </si>
  <si>
    <t>Delivered Net Media Amount</t>
  </si>
  <si>
    <t>% Delivered Net Media Amount</t>
  </si>
  <si>
    <t>Platform Fee rate</t>
  </si>
  <si>
    <t>Delivered Platform Fee rate</t>
  </si>
  <si>
    <t>% Delivered Platform Fee rate</t>
  </si>
  <si>
    <t>Platform fee</t>
  </si>
  <si>
    <t>Delivered Platform fee</t>
  </si>
  <si>
    <t>% Delivered Platform fee</t>
  </si>
  <si>
    <t>Total Amount (Net+Tech)</t>
  </si>
  <si>
    <t>Delivered Total Amount</t>
  </si>
  <si>
    <t>% Delivered Total Amount</t>
  </si>
  <si>
    <t>Docree</t>
  </si>
  <si>
    <t>Auction</t>
  </si>
  <si>
    <t>Direct Buy</t>
  </si>
  <si>
    <t>Consulting Physician</t>
  </si>
  <si>
    <t>PAN India</t>
  </si>
  <si>
    <t xml:space="preserve">Crocin 650 Digital
</t>
  </si>
  <si>
    <t>320x100, 970x90, 728x90</t>
  </si>
  <si>
    <t>Display Banner Based 
Campaign with a High reach &amp; 
Moderate Frequency</t>
  </si>
  <si>
    <t>-</t>
  </si>
  <si>
    <t>CPM</t>
  </si>
  <si>
    <t>General Physician</t>
  </si>
  <si>
    <t xml:space="preserve">Crocin Optizorb Science
</t>
  </si>
  <si>
    <t>Rich Media Ads (HTML Based 
&lt;30 secs Video) Based 
Campaign with a High reach &amp; 
Moderate frequency</t>
  </si>
  <si>
    <t>Lybrate</t>
  </si>
  <si>
    <t>Lybrate - GP /CP</t>
  </si>
  <si>
    <t>Video</t>
  </si>
  <si>
    <t>30 secs Video</t>
  </si>
  <si>
    <t>CPV</t>
  </si>
  <si>
    <t>DV360 YT</t>
  </si>
  <si>
    <t>20th Jan'22</t>
  </si>
  <si>
    <t>27th Feb'22</t>
  </si>
  <si>
    <t>Programmatic</t>
  </si>
  <si>
    <t>25-44MF</t>
  </si>
  <si>
    <t>Delhi</t>
  </si>
  <si>
    <t>Skippable</t>
  </si>
  <si>
    <t>20 sec</t>
  </si>
  <si>
    <t>Instream</t>
  </si>
  <si>
    <t>Kolkata</t>
  </si>
  <si>
    <t>Mumbai</t>
  </si>
  <si>
    <t>Bangalore</t>
  </si>
  <si>
    <t>Hyderabad, Vishakapatnam</t>
  </si>
  <si>
    <t>Chennai, Coimbatore, Madurai</t>
  </si>
  <si>
    <t>Lucknow</t>
  </si>
  <si>
    <t>Patna</t>
  </si>
  <si>
    <t>Jaipur</t>
  </si>
  <si>
    <t>Guwahati</t>
  </si>
  <si>
    <t>Ahmedabad</t>
  </si>
  <si>
    <t>Pune</t>
  </si>
  <si>
    <t>Bhubaneshwar</t>
  </si>
  <si>
    <t>Indore</t>
  </si>
  <si>
    <t>Kanpur</t>
  </si>
  <si>
    <t>Varanasi</t>
  </si>
  <si>
    <t>Ludhiana</t>
  </si>
  <si>
    <t>Bhopal</t>
  </si>
  <si>
    <t>Nagpur</t>
  </si>
  <si>
    <t>Surat, Vadodara</t>
  </si>
  <si>
    <t>09th Feb'22</t>
  </si>
  <si>
    <t>Retargeting View audience</t>
  </si>
  <si>
    <t>All cities</t>
  </si>
  <si>
    <t>Bumper</t>
  </si>
  <si>
    <t>6 sec</t>
  </si>
  <si>
    <t>Eno Zappr</t>
  </si>
  <si>
    <t>Crocin Lybrate</t>
  </si>
  <si>
    <t>Crocin Docree</t>
  </si>
  <si>
    <t xml:space="preserve">DV360 YT </t>
  </si>
  <si>
    <t>15sec</t>
  </si>
  <si>
    <t>Non skippable</t>
  </si>
  <si>
    <t>Iodex Balm</t>
  </si>
  <si>
    <t>Chennai</t>
  </si>
  <si>
    <t>Iodex Spray</t>
  </si>
  <si>
    <t>Social</t>
  </si>
  <si>
    <t>CPC</t>
  </si>
  <si>
    <t xml:space="preserve">2 cups of Milk </t>
  </si>
  <si>
    <t>35+ F, Affinity , Delhi, Patna, Guwahati, Bangalore, UP, Kolkata, Howrah, Mumbai, Pune</t>
  </si>
  <si>
    <t>Delhi, Patna, Guwahati, Bangalore, UP, Kolkata, Howrah, Mumbai, Pune</t>
  </si>
  <si>
    <t>6sec</t>
  </si>
  <si>
    <t>Retargeting campaign audience</t>
  </si>
  <si>
    <t>Custom affinity towards calcium supplements, markets</t>
  </si>
  <si>
    <t>Skippable+No Skippable</t>
  </si>
  <si>
    <t>DV360 Hostar</t>
  </si>
  <si>
    <t>Guaranteed</t>
  </si>
  <si>
    <t>35F+ Affinity, Markets</t>
  </si>
  <si>
    <t>Retargeting 15 sec audience, markets</t>
  </si>
  <si>
    <t>Hostar</t>
  </si>
  <si>
    <t>Direct</t>
  </si>
  <si>
    <t>Connected TV, Top 8 markets</t>
  </si>
  <si>
    <t>Delhi, Mumbai, Chennai, Hyd, Banaglore, Pune, Ahmedabad, Kolkata</t>
  </si>
  <si>
    <t>DV360 Display</t>
  </si>
  <si>
    <t>35+ Female, 3rd party audiences, custom affinity, categories, Markets</t>
  </si>
  <si>
    <t>Static</t>
  </si>
  <si>
    <t>Banners</t>
  </si>
  <si>
    <t>Ostrocalcium</t>
  </si>
  <si>
    <t>DV360 Youtube</t>
  </si>
  <si>
    <t>25-44 MF, Health &amp; Fitness enthusiasts+ HNI , Del NCR</t>
  </si>
  <si>
    <t>Delhi NCR</t>
  </si>
  <si>
    <t>Otrivin Breathe Clean</t>
  </si>
  <si>
    <t>30 sec</t>
  </si>
  <si>
    <t>Non Skippable</t>
  </si>
  <si>
    <t>25-44 MF, Health &amp; Fitness enthusiasts + HNI , Mumbai</t>
  </si>
  <si>
    <t>25-44 MF, Health &amp; Fitness enthusiasts + HNI , Hyd</t>
  </si>
  <si>
    <t>Hyderabad</t>
  </si>
  <si>
    <t>25-44 MF, Health &amp; Fitness enthusiasts + HNI , Bangalore</t>
  </si>
  <si>
    <t>25-44 MF, Health &amp; Fitness enthusiasts + HNI , Kolkata</t>
  </si>
  <si>
    <t>25-44 MF, Health &amp; Fitness enthusiasts + HNI , Chennai</t>
  </si>
  <si>
    <t>25-44 MF, Health &amp; Fitness enthusiasts + HNI , Nagpur, Pune</t>
  </si>
  <si>
    <t>Nagpur, Pune</t>
  </si>
  <si>
    <t>25-44 MF, Health &amp; Fitness enthusiasts + HNI , Kochi</t>
  </si>
  <si>
    <t>Kochi</t>
  </si>
  <si>
    <t>25-44 MF, Health &amp; Fitness enthusiasts + HNI , Varanasi &amp; Lucknow</t>
  </si>
  <si>
    <t>Varanasi &amp; Lucknow</t>
  </si>
  <si>
    <t>25-44 MF, Health &amp; Fitness enthusiasts + HNI , Ahmedabad</t>
  </si>
  <si>
    <t>25-44 MF, Health &amp; Fitness enthusiasts + HNI , Patna</t>
  </si>
  <si>
    <t>TTD OTT</t>
  </si>
  <si>
    <t>3rd party category audience, Geo</t>
  </si>
  <si>
    <t>13 cities</t>
  </si>
  <si>
    <t>Non skippable Video - OTT</t>
  </si>
  <si>
    <t>TTD Display</t>
  </si>
  <si>
    <t>Banner</t>
  </si>
  <si>
    <t>GS Contextual, Geo</t>
  </si>
  <si>
    <t>Retarget click &amp; view based audiences, Geo</t>
  </si>
  <si>
    <t>Otrivin Breath</t>
  </si>
  <si>
    <t>25-44 MF + HNI 20%</t>
  </si>
  <si>
    <t>P1</t>
  </si>
  <si>
    <t xml:space="preserve">Time creative </t>
  </si>
  <si>
    <t>15 sec follw by 6; Non Skip</t>
  </si>
  <si>
    <t>Sequencing - non skippable - 15 sec followed by 6</t>
  </si>
  <si>
    <t xml:space="preserve">CPM </t>
  </si>
  <si>
    <t>P2</t>
  </si>
  <si>
    <t>25-54 MF + HNI 20%</t>
  </si>
  <si>
    <t>P1 -TN &amp; AP &amp; Telengana</t>
  </si>
  <si>
    <t>P2 - Kar &amp; Ker</t>
  </si>
  <si>
    <t xml:space="preserve"> Facebook + Insta Feed &amp; Story </t>
  </si>
  <si>
    <t xml:space="preserve">Reach and Frequency </t>
  </si>
  <si>
    <t xml:space="preserve">25-44 MF accesing iphone above 6+, One plus, Google Pixel </t>
  </si>
  <si>
    <t xml:space="preserve">True, False </t>
  </si>
  <si>
    <t xml:space="preserve"> Facebook + Insta Feed &amp; Stories, Explore</t>
  </si>
  <si>
    <t xml:space="preserve">PDX additional market </t>
  </si>
  <si>
    <t xml:space="preserve">2 lac+ </t>
  </si>
  <si>
    <t xml:space="preserve">FB + Insta Feed &amp; Story </t>
  </si>
  <si>
    <t>25-44 MF, remarketing audience who have our video atleast 95% in previous campaign, website audience</t>
  </si>
  <si>
    <t>PAN India Cities</t>
  </si>
  <si>
    <t>25-54 MF high value goods, handset (I phone 6+ models, One Plus )+online shopper excluding low end phone brands</t>
  </si>
  <si>
    <t>PDX-01</t>
  </si>
  <si>
    <t>FB + Insta Feed &amp; Story</t>
  </si>
  <si>
    <t>Auction conversion</t>
  </si>
  <si>
    <t>35+ Targeting lal of website &amp; lal of Shopalyst , excluding ppl who have visited shopalyst page</t>
  </si>
  <si>
    <t>Static/ Gifs</t>
  </si>
  <si>
    <t>Feed + Story</t>
  </si>
  <si>
    <t>Remarketing website audience &amp; shopalyst audience</t>
  </si>
  <si>
    <t xml:space="preserve">PAN India </t>
  </si>
  <si>
    <t>Polident</t>
  </si>
  <si>
    <t xml:space="preserve">Targeting 25+ MF </t>
  </si>
  <si>
    <t>Faces</t>
  </si>
  <si>
    <t>15 Sec, 15 sec, 6 sec</t>
  </si>
  <si>
    <t>Video Ad Sequencing - 
Trueview for reach, 
Non Skippable, 
Bumper</t>
  </si>
  <si>
    <t xml:space="preserve">Mumbai </t>
  </si>
  <si>
    <t xml:space="preserve">Bangalore </t>
  </si>
  <si>
    <t xml:space="preserve">Kolkata </t>
  </si>
  <si>
    <t xml:space="preserve">Chennai </t>
  </si>
  <si>
    <t xml:space="preserve">Hyderabad </t>
  </si>
  <si>
    <t>Targeting 25+ MF; HHI -Top -40%</t>
  </si>
  <si>
    <t xml:space="preserve">Rest of North </t>
  </si>
  <si>
    <t xml:space="preserve">Rest of West </t>
  </si>
  <si>
    <t xml:space="preserve">Rest of South </t>
  </si>
  <si>
    <t xml:space="preserve">TN Cities </t>
  </si>
  <si>
    <t xml:space="preserve">Rest of East </t>
  </si>
  <si>
    <t xml:space="preserve">Demo, Geo - Connected TV </t>
  </si>
  <si>
    <t>All markets except TN CTV</t>
  </si>
  <si>
    <t>TN cities  CTV</t>
  </si>
  <si>
    <t>Kerala</t>
  </si>
  <si>
    <t xml:space="preserve">FB+ Insta Feed </t>
  </si>
  <si>
    <t xml:space="preserve">Retargeting of website audience, Liked SSD FB page </t>
  </si>
  <si>
    <t>All India</t>
  </si>
  <si>
    <t>Faces, dentist</t>
  </si>
  <si>
    <t xml:space="preserve">Static, Gif, Carousel </t>
  </si>
  <si>
    <t xml:space="preserve">Instagram Reels </t>
  </si>
  <si>
    <t xml:space="preserve">25-44 </t>
  </si>
  <si>
    <t xml:space="preserve">DNCR </t>
  </si>
  <si>
    <t xml:space="preserve">Video </t>
  </si>
  <si>
    <t xml:space="preserve">Insta Feed + Insta Story + Explore </t>
  </si>
  <si>
    <t>RNF</t>
  </si>
  <si>
    <t xml:space="preserve">Targeting 25-44 MF </t>
  </si>
  <si>
    <t xml:space="preserve">FB Feed + FB story </t>
  </si>
  <si>
    <t>Targeting 45+</t>
  </si>
  <si>
    <t xml:space="preserve">FB+ Insta Feed &amp; Story </t>
  </si>
  <si>
    <t xml:space="preserve">Targeting 25+ MF; Mid To High Value Goods </t>
  </si>
  <si>
    <t>FB+ Insta Feed &amp; Stories +Explore</t>
  </si>
  <si>
    <t>SSD_Base</t>
  </si>
  <si>
    <t xml:space="preserve"> DV360 -TOI News, Crickbuz &amp;ET, Lifestyle (Mex XP etc,)</t>
  </si>
  <si>
    <t>25+; 6 Metros - Handset -15k</t>
  </si>
  <si>
    <t xml:space="preserve">6 metros </t>
  </si>
  <si>
    <t>Display</t>
  </si>
  <si>
    <t>15 sec</t>
  </si>
  <si>
    <t>Standard Banner</t>
  </si>
  <si>
    <t>DV360- News 18 English</t>
  </si>
  <si>
    <t xml:space="preserve">Standard Banner </t>
  </si>
  <si>
    <t xml:space="preserve">DV360  Moneycontrol </t>
  </si>
  <si>
    <t xml:space="preserve">DV360 - NDTV </t>
  </si>
  <si>
    <t xml:space="preserve"> DNCR, Handset above 15k</t>
  </si>
  <si>
    <t>DNCR</t>
  </si>
  <si>
    <t>DV360- Across TIL</t>
  </si>
  <si>
    <t>geo targeting top 6 metros</t>
  </si>
  <si>
    <t>2 weeks</t>
  </si>
  <si>
    <t>0.4-0.7%</t>
  </si>
  <si>
    <t>SSD-News</t>
  </si>
  <si>
    <t>Facebook+ Instagram ( Feed &amp; Stories)</t>
  </si>
  <si>
    <t xml:space="preserve">Targeting 25+; Mid to high value Goods </t>
  </si>
  <si>
    <t>Top 6 Metros</t>
  </si>
  <si>
    <t>Toothbrush, Toothpaste</t>
  </si>
  <si>
    <t>6 Sec</t>
  </si>
  <si>
    <t>Sequencing- FB-Insta Feed, Stories, Explore</t>
  </si>
  <si>
    <t xml:space="preserve">Rest of the markets </t>
  </si>
  <si>
    <t>SSD-P55</t>
  </si>
  <si>
    <t>DV360 - Money Control</t>
  </si>
  <si>
    <t xml:space="preserve">Demo, Geo, Handset- 25+, 27 Markets, 15K+ Handset </t>
  </si>
  <si>
    <t>Pan India</t>
  </si>
  <si>
    <t>Logo</t>
  </si>
  <si>
    <t>LOGO</t>
  </si>
  <si>
    <t>Fixed</t>
  </si>
  <si>
    <t>27 Markets</t>
  </si>
  <si>
    <t>Face Creative Female</t>
  </si>
  <si>
    <t>6 Mil/Day</t>
  </si>
  <si>
    <t>2.5 Mil/Day</t>
  </si>
  <si>
    <t>In-Video Banners</t>
  </si>
  <si>
    <t>SSD Union Budget</t>
  </si>
  <si>
    <t>Demo, Geo, HHI -20%</t>
  </si>
  <si>
    <t>Tamil Nadu</t>
  </si>
  <si>
    <t>AP+ TL</t>
  </si>
  <si>
    <t>Kanataka</t>
  </si>
  <si>
    <t>25+; Mid to high value</t>
  </si>
  <si>
    <t xml:space="preserve">Kerala </t>
  </si>
  <si>
    <t>Creatives</t>
  </si>
  <si>
    <t>Feed &amp; Stories</t>
  </si>
  <si>
    <t xml:space="preserve">AP+ TL </t>
  </si>
  <si>
    <t>PDX-02</t>
  </si>
  <si>
    <t>Crickbuzz</t>
  </si>
  <si>
    <t>Interstitials</t>
  </si>
  <si>
    <t>25+</t>
  </si>
  <si>
    <t>Top 6 mteros</t>
  </si>
  <si>
    <t>Interstitials ROS</t>
  </si>
  <si>
    <t>SSD-Crickbuzz</t>
  </si>
  <si>
    <t>Hotstar</t>
  </si>
  <si>
    <t>Sensodyne</t>
  </si>
  <si>
    <t>Midrolls(LIVE + PPL Mobile)</t>
  </si>
  <si>
    <t>15 Sec</t>
  </si>
  <si>
    <t>3 ODI's _ 3T 20's</t>
  </si>
  <si>
    <t>Midrolls (CTV)</t>
  </si>
  <si>
    <t>Preroll (LIVE)</t>
  </si>
  <si>
    <t>10 Sec</t>
  </si>
  <si>
    <t>SSD Ind Vs WI</t>
  </si>
  <si>
    <t>Awareness</t>
  </si>
  <si>
    <t>Targeting 45-65</t>
  </si>
  <si>
    <t xml:space="preserve">GIF, Static </t>
  </si>
  <si>
    <t xml:space="preserve">Insta Feed &amp; Story </t>
  </si>
  <si>
    <t>Targeting 25+</t>
  </si>
  <si>
    <t>Targeting 25-65+; mid to high value</t>
  </si>
  <si>
    <t xml:space="preserve">Rest of the market </t>
  </si>
  <si>
    <t>SSD P55-02</t>
  </si>
  <si>
    <t xml:space="preserve">Inshorts </t>
  </si>
  <si>
    <t>25 +</t>
  </si>
  <si>
    <t>SSD Inshorts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</si>
</sst>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64" formatCode="&quot;Rs.&quot;\ #,##0"/>
    <numFmt numFmtId="166" formatCode="_(* #,##0_);_(* \(#,##0\);_(* &quot;-&quot;??_);_(@_)"/>
    <numFmt numFmtId="167" formatCode="0.0"/>
    <numFmt numFmtId="168" formatCode="0.0%"/>
    <numFmt numFmtId="170" formatCode="#,##0.0"/>
    <numFmt numFmtId="171" formatCode="&quot;Rs.&quot;\ #,##0.00"/>
    <numFmt numFmtId="172" formatCode="#,##0;[Red]#,##0"/>
    <numFmt numFmtId="173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242424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26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5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3" fontId="7" fillId="0" borderId="2" xfId="0" applyNumberFormat="1" applyFont="1" applyFill="1" applyBorder="1" applyAlignment="1">
      <alignment horizontal="center" vertical="center" shrinkToFit="1"/>
    </xf>
    <xf numFmtId="9" fontId="7" fillId="0" borderId="2" xfId="2" applyFont="1" applyFill="1" applyBorder="1" applyAlignment="1">
      <alignment horizontal="center" vertical="center" shrinkToFit="1"/>
    </xf>
    <xf numFmtId="1" fontId="7" fillId="0" borderId="2" xfId="0" applyNumberFormat="1" applyFont="1" applyFill="1" applyBorder="1" applyAlignment="1">
      <alignment horizontal="center" vertical="center" shrinkToFit="1"/>
    </xf>
    <xf numFmtId="2" fontId="7" fillId="0" borderId="2" xfId="2" applyNumberFormat="1" applyFont="1" applyFill="1" applyBorder="1" applyAlignment="1">
      <alignment horizontal="center" vertical="center" shrinkToFit="1"/>
    </xf>
    <xf numFmtId="1" fontId="4" fillId="0" borderId="2" xfId="0" applyNumberFormat="1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 vertical="center" wrapText="1"/>
    </xf>
    <xf numFmtId="9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9" fontId="4" fillId="0" borderId="2" xfId="2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15" fontId="9" fillId="0" borderId="2" xfId="0" applyNumberFormat="1" applyFont="1" applyFill="1" applyBorder="1" applyAlignment="1">
      <alignment horizontal="center" vertical="center"/>
    </xf>
    <xf numFmtId="15" fontId="8" fillId="0" borderId="2" xfId="0" applyNumberFormat="1" applyFont="1" applyFill="1" applyBorder="1" applyAlignment="1">
      <alignment horizontal="center" vertical="center"/>
    </xf>
    <xf numFmtId="15" fontId="10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 wrapText="1"/>
    </xf>
    <xf numFmtId="9" fontId="8" fillId="7" borderId="2" xfId="2" applyFont="1" applyFill="1" applyBorder="1" applyAlignment="1">
      <alignment horizontal="center" vertical="center"/>
    </xf>
    <xf numFmtId="9" fontId="10" fillId="0" borderId="2" xfId="0" applyNumberFormat="1" applyFont="1" applyFill="1" applyBorder="1" applyAlignment="1">
      <alignment horizontal="center" vertical="center" wrapText="1"/>
    </xf>
    <xf numFmtId="3" fontId="9" fillId="7" borderId="2" xfId="0" applyNumberFormat="1" applyFont="1" applyFill="1" applyBorder="1" applyAlignment="1">
      <alignment horizontal="center" vertical="center"/>
    </xf>
    <xf numFmtId="37" fontId="8" fillId="7" borderId="2" xfId="1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37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6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Fill="1" applyBorder="1" applyAlignment="1">
      <alignment horizontal="center" vertical="center"/>
    </xf>
    <xf numFmtId="167" fontId="9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68" fontId="9" fillId="0" borderId="2" xfId="2" applyNumberFormat="1" applyFont="1" applyBorder="1" applyAlignment="1">
      <alignment horizontal="center" vertical="center"/>
    </xf>
    <xf numFmtId="9" fontId="9" fillId="0" borderId="2" xfId="2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66" fontId="8" fillId="7" borderId="2" xfId="1" applyNumberFormat="1" applyFont="1" applyFill="1" applyBorder="1" applyAlignment="1">
      <alignment horizontal="center" vertical="center" wrapText="1"/>
    </xf>
    <xf numFmtId="0" fontId="9" fillId="0" borderId="0" xfId="0" applyFont="1"/>
    <xf numFmtId="0" fontId="4" fillId="0" borderId="2" xfId="0" applyFont="1" applyBorder="1" applyAlignment="1">
      <alignment horizontal="center" vertical="center"/>
    </xf>
    <xf numFmtId="15" fontId="4" fillId="0" borderId="2" xfId="0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 wrapText="1"/>
    </xf>
    <xf numFmtId="168" fontId="5" fillId="0" borderId="2" xfId="2" applyNumberFormat="1" applyFont="1" applyFill="1" applyBorder="1" applyAlignment="1">
      <alignment horizontal="center" vertical="center" wrapText="1"/>
    </xf>
    <xf numFmtId="166" fontId="5" fillId="0" borderId="1" xfId="1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3" fontId="10" fillId="0" borderId="2" xfId="0" applyNumberFormat="1" applyFont="1" applyFill="1" applyBorder="1" applyAlignment="1">
      <alignment horizontal="center" vertical="center"/>
    </xf>
    <xf numFmtId="3" fontId="8" fillId="0" borderId="2" xfId="0" applyNumberFormat="1" applyFont="1" applyFill="1" applyBorder="1" applyAlignment="1">
      <alignment horizontal="center" vertical="center"/>
    </xf>
    <xf numFmtId="170" fontId="10" fillId="0" borderId="2" xfId="0" applyNumberFormat="1" applyFont="1" applyFill="1" applyBorder="1" applyAlignment="1">
      <alignment horizontal="center" vertical="center"/>
    </xf>
    <xf numFmtId="168" fontId="8" fillId="0" borderId="2" xfId="2" applyNumberFormat="1" applyFont="1" applyFill="1" applyBorder="1" applyAlignment="1">
      <alignment horizontal="center" vertical="center"/>
    </xf>
    <xf numFmtId="168" fontId="10" fillId="0" borderId="2" xfId="0" applyNumberFormat="1" applyFont="1" applyFill="1" applyBorder="1" applyAlignment="1">
      <alignment horizontal="center" vertical="center" wrapText="1"/>
    </xf>
    <xf numFmtId="9" fontId="10" fillId="0" borderId="2" xfId="2" applyFont="1" applyFill="1" applyBorder="1" applyAlignment="1">
      <alignment horizontal="center" vertical="center" wrapText="1"/>
    </xf>
    <xf numFmtId="168" fontId="10" fillId="0" borderId="2" xfId="2" applyNumberFormat="1" applyFont="1" applyFill="1" applyBorder="1" applyAlignment="1">
      <alignment horizontal="center" vertical="center" wrapText="1"/>
    </xf>
    <xf numFmtId="9" fontId="9" fillId="0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vertical="center"/>
    </xf>
    <xf numFmtId="166" fontId="8" fillId="0" borderId="2" xfId="1" applyNumberFormat="1" applyFont="1" applyFill="1" applyBorder="1" applyAlignment="1">
      <alignment horizontal="center" vertical="center"/>
    </xf>
    <xf numFmtId="168" fontId="9" fillId="0" borderId="2" xfId="0" applyNumberFormat="1" applyFont="1" applyFill="1" applyBorder="1" applyAlignment="1">
      <alignment horizontal="center" vertical="center" wrapText="1"/>
    </xf>
    <xf numFmtId="168" fontId="9" fillId="0" borderId="2" xfId="2" applyNumberFormat="1" applyFont="1" applyFill="1" applyBorder="1" applyAlignment="1">
      <alignment horizontal="center" vertical="center" wrapText="1"/>
    </xf>
    <xf numFmtId="168" fontId="9" fillId="8" borderId="2" xfId="0" applyNumberFormat="1" applyFont="1" applyFill="1" applyBorder="1" applyAlignment="1">
      <alignment horizontal="center" vertical="center" wrapText="1"/>
    </xf>
    <xf numFmtId="166" fontId="10" fillId="0" borderId="2" xfId="1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66" fontId="9" fillId="0" borderId="2" xfId="1" applyNumberFormat="1" applyFont="1" applyFill="1" applyBorder="1" applyAlignment="1">
      <alignment horizontal="center" vertical="center" wrapText="1"/>
    </xf>
    <xf numFmtId="9" fontId="9" fillId="8" borderId="2" xfId="0" applyNumberFormat="1" applyFont="1" applyFill="1" applyBorder="1" applyAlignment="1">
      <alignment horizontal="center" vertical="center" wrapText="1"/>
    </xf>
    <xf numFmtId="167" fontId="9" fillId="0" borderId="2" xfId="0" applyNumberFormat="1" applyFont="1" applyFill="1" applyBorder="1" applyAlignment="1">
      <alignment horizontal="center" vertical="center" wrapText="1"/>
    </xf>
    <xf numFmtId="9" fontId="9" fillId="0" borderId="1" xfId="0" applyNumberFormat="1" applyFont="1" applyFill="1" applyBorder="1" applyAlignment="1">
      <alignment horizontal="center" vertical="center" wrapText="1"/>
    </xf>
    <xf numFmtId="1" fontId="9" fillId="0" borderId="2" xfId="1" applyNumberFormat="1" applyFont="1" applyFill="1" applyBorder="1" applyAlignment="1">
      <alignment horizontal="center" vertical="center" wrapText="1"/>
    </xf>
    <xf numFmtId="167" fontId="9" fillId="0" borderId="2" xfId="0" applyNumberFormat="1" applyFont="1" applyFill="1" applyBorder="1" applyAlignment="1">
      <alignment vertical="center" wrapText="1"/>
    </xf>
    <xf numFmtId="168" fontId="10" fillId="0" borderId="2" xfId="2" applyNumberFormat="1" applyFont="1" applyFill="1" applyBorder="1" applyAlignment="1">
      <alignment horizontal="center" vertical="center"/>
    </xf>
    <xf numFmtId="3" fontId="10" fillId="0" borderId="2" xfId="0" applyNumberFormat="1" applyFont="1" applyFill="1" applyBorder="1" applyAlignment="1">
      <alignment horizontal="center" vertical="center" wrapText="1"/>
    </xf>
    <xf numFmtId="10" fontId="9" fillId="0" borderId="2" xfId="2" applyNumberFormat="1" applyFont="1" applyFill="1" applyBorder="1" applyAlignment="1">
      <alignment horizontal="center" vertical="center" wrapText="1"/>
    </xf>
    <xf numFmtId="167" fontId="9" fillId="0" borderId="2" xfId="1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5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66" fontId="4" fillId="0" borderId="1" xfId="1" applyNumberFormat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9" fontId="7" fillId="0" borderId="1" xfId="2" applyFont="1" applyBorder="1" applyAlignment="1">
      <alignment horizontal="center" vertical="center" wrapText="1"/>
    </xf>
    <xf numFmtId="170" fontId="5" fillId="0" borderId="1" xfId="0" applyNumberFormat="1" applyFont="1" applyBorder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171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8" fontId="4" fillId="0" borderId="2" xfId="2" applyNumberFormat="1" applyFont="1" applyFill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9" fontId="7" fillId="0" borderId="3" xfId="2" applyFont="1" applyBorder="1" applyAlignment="1">
      <alignment horizontal="center" vertical="center" wrapText="1"/>
    </xf>
    <xf numFmtId="170" fontId="5" fillId="0" borderId="3" xfId="0" applyNumberFormat="1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168" fontId="4" fillId="0" borderId="2" xfId="2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5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 wrapText="1"/>
    </xf>
    <xf numFmtId="9" fontId="7" fillId="0" borderId="2" xfId="2" applyFont="1" applyFill="1" applyBorder="1" applyAlignment="1">
      <alignment horizontal="center" vertical="center" wrapText="1"/>
    </xf>
    <xf numFmtId="170" fontId="5" fillId="0" borderId="2" xfId="0" applyNumberFormat="1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 wrapText="1"/>
    </xf>
    <xf numFmtId="9" fontId="4" fillId="0" borderId="2" xfId="0" applyNumberFormat="1" applyFont="1" applyFill="1" applyBorder="1" applyAlignment="1">
      <alignment horizontal="center" vertical="center" wrapText="1"/>
    </xf>
    <xf numFmtId="168" fontId="5" fillId="0" borderId="2" xfId="2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166" fontId="4" fillId="0" borderId="2" xfId="2" applyNumberFormat="1" applyFont="1" applyFill="1" applyBorder="1" applyAlignment="1">
      <alignment vertical="center" wrapText="1"/>
    </xf>
    <xf numFmtId="9" fontId="5" fillId="0" borderId="2" xfId="2" applyNumberFormat="1" applyFont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9" fontId="7" fillId="0" borderId="2" xfId="0" applyNumberFormat="1" applyFont="1" applyFill="1" applyBorder="1" applyAlignment="1">
      <alignment horizontal="center" vertical="center" wrapText="1"/>
    </xf>
    <xf numFmtId="10" fontId="7" fillId="0" borderId="2" xfId="2" applyNumberFormat="1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vertical="center" wrapText="1"/>
    </xf>
    <xf numFmtId="166" fontId="4" fillId="0" borderId="2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3" fontId="5" fillId="8" borderId="2" xfId="0" applyNumberFormat="1" applyFont="1" applyFill="1" applyBorder="1" applyAlignment="1">
      <alignment horizontal="center" vertical="center"/>
    </xf>
    <xf numFmtId="3" fontId="4" fillId="0" borderId="2" xfId="0" applyNumberFormat="1" applyFont="1" applyFill="1" applyBorder="1" applyAlignment="1">
      <alignment horizontal="center" vertical="center"/>
    </xf>
    <xf numFmtId="3" fontId="5" fillId="9" borderId="2" xfId="0" applyNumberFormat="1" applyFont="1" applyFill="1" applyBorder="1" applyAlignment="1">
      <alignment horizontal="center" vertical="center" wrapText="1"/>
    </xf>
    <xf numFmtId="3" fontId="5" fillId="9" borderId="2" xfId="0" applyNumberFormat="1" applyFont="1" applyFill="1" applyBorder="1" applyAlignment="1">
      <alignment horizontal="center" vertical="center"/>
    </xf>
    <xf numFmtId="9" fontId="7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 wrapText="1"/>
    </xf>
    <xf numFmtId="168" fontId="7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7" fillId="9" borderId="2" xfId="0" applyNumberFormat="1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172" fontId="5" fillId="0" borderId="2" xfId="1" applyNumberFormat="1" applyFont="1" applyFill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 wrapText="1"/>
    </xf>
    <xf numFmtId="168" fontId="5" fillId="0" borderId="2" xfId="0" applyNumberFormat="1" applyFont="1" applyBorder="1" applyAlignment="1">
      <alignment horizontal="center" vertical="center" wrapText="1"/>
    </xf>
    <xf numFmtId="172" fontId="5" fillId="0" borderId="2" xfId="1" applyNumberFormat="1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9" fontId="7" fillId="0" borderId="2" xfId="0" applyNumberFormat="1" applyFont="1" applyFill="1" applyBorder="1" applyAlignment="1">
      <alignment horizontal="center" vertical="center"/>
    </xf>
    <xf numFmtId="9" fontId="5" fillId="0" borderId="2" xfId="0" applyNumberFormat="1" applyFont="1" applyBorder="1" applyAlignment="1">
      <alignment horizontal="center" vertical="center"/>
    </xf>
    <xf numFmtId="168" fontId="7" fillId="0" borderId="2" xfId="2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172" fontId="5" fillId="0" borderId="2" xfId="1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72" fontId="4" fillId="0" borderId="2" xfId="1" applyNumberFormat="1" applyFont="1" applyBorder="1" applyAlignment="1">
      <alignment horizontal="center" vertical="center"/>
    </xf>
    <xf numFmtId="14" fontId="7" fillId="8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166" fontId="4" fillId="0" borderId="2" xfId="1" applyNumberFormat="1" applyFont="1" applyFill="1" applyBorder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 wrapText="1"/>
    </xf>
    <xf numFmtId="166" fontId="4" fillId="0" borderId="2" xfId="1" applyNumberFormat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9" fontId="4" fillId="0" borderId="2" xfId="2" applyFont="1" applyBorder="1" applyAlignment="1">
      <alignment horizontal="center"/>
    </xf>
    <xf numFmtId="168" fontId="4" fillId="0" borderId="2" xfId="2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2" applyNumberFormat="1" applyFont="1" applyFill="1" applyBorder="1" applyAlignment="1">
      <alignment horizontal="center" vertical="center" wrapText="1"/>
    </xf>
    <xf numFmtId="9" fontId="4" fillId="0" borderId="2" xfId="2" applyFont="1" applyBorder="1" applyAlignment="1">
      <alignment horizontal="center" vertical="center"/>
    </xf>
    <xf numFmtId="168" fontId="4" fillId="0" borderId="2" xfId="2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9" fontId="5" fillId="0" borderId="2" xfId="2" applyFont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/>
    </xf>
    <xf numFmtId="171" fontId="5" fillId="0" borderId="2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/>
    </xf>
    <xf numFmtId="9" fontId="7" fillId="0" borderId="2" xfId="2" applyFont="1" applyBorder="1" applyAlignment="1">
      <alignment horizontal="center" vertical="center"/>
    </xf>
    <xf numFmtId="0" fontId="0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15" fontId="12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>
      <alignment horizontal="center" vertical="center"/>
    </xf>
    <xf numFmtId="9" fontId="12" fillId="0" borderId="2" xfId="0" applyNumberFormat="1" applyFont="1" applyFill="1" applyBorder="1" applyAlignment="1">
      <alignment horizontal="center" vertical="center" wrapText="1"/>
    </xf>
    <xf numFmtId="9" fontId="11" fillId="0" borderId="2" xfId="2" applyFont="1" applyFill="1" applyBorder="1" applyAlignment="1">
      <alignment horizontal="center" vertical="center"/>
    </xf>
    <xf numFmtId="3" fontId="12" fillId="0" borderId="2" xfId="0" applyNumberFormat="1" applyFont="1" applyFill="1" applyBorder="1" applyAlignment="1">
      <alignment horizontal="center" vertical="center"/>
    </xf>
    <xf numFmtId="170" fontId="11" fillId="0" borderId="2" xfId="0" applyNumberFormat="1" applyFont="1" applyFill="1" applyBorder="1" applyAlignment="1">
      <alignment horizontal="center" vertical="center"/>
    </xf>
    <xf numFmtId="168" fontId="12" fillId="0" borderId="2" xfId="2" applyNumberFormat="1" applyFont="1" applyFill="1" applyBorder="1" applyAlignment="1">
      <alignment horizontal="center" vertical="center" wrapText="1"/>
    </xf>
    <xf numFmtId="1" fontId="0" fillId="0" borderId="2" xfId="0" applyNumberFormat="1" applyFont="1" applyFill="1" applyBorder="1" applyAlignment="1">
      <alignment horizontal="center" vertical="center" wrapText="1"/>
    </xf>
    <xf numFmtId="171" fontId="0" fillId="0" borderId="2" xfId="0" applyNumberFormat="1" applyFont="1" applyFill="1" applyBorder="1" applyAlignment="1">
      <alignment horizontal="center" vertical="center" wrapText="1"/>
    </xf>
    <xf numFmtId="15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66" fontId="9" fillId="0" borderId="2" xfId="1" applyNumberFormat="1" applyFont="1" applyBorder="1" applyAlignment="1">
      <alignment horizontal="center" vertical="center"/>
    </xf>
    <xf numFmtId="173" fontId="9" fillId="0" borderId="2" xfId="3" applyNumberFormat="1" applyFont="1" applyBorder="1" applyAlignment="1">
      <alignment horizontal="center" vertical="center"/>
    </xf>
    <xf numFmtId="173" fontId="9" fillId="0" borderId="2" xfId="3" applyNumberFormat="1" applyFont="1" applyBorder="1" applyAlignment="1">
      <alignment horizontal="center"/>
    </xf>
    <xf numFmtId="1" fontId="10" fillId="0" borderId="5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73" fontId="9" fillId="0" borderId="2" xfId="3" applyNumberFormat="1" applyFont="1" applyBorder="1" applyAlignment="1">
      <alignment horizontal="center" vertical="center" wrapText="1"/>
    </xf>
    <xf numFmtId="173" fontId="9" fillId="0" borderId="2" xfId="3" applyNumberFormat="1" applyFont="1" applyBorder="1" applyAlignment="1">
      <alignment horizontal="center" wrapText="1"/>
    </xf>
    <xf numFmtId="166" fontId="9" fillId="0" borderId="2" xfId="1" quotePrefix="1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15" fontId="9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/>
    </xf>
    <xf numFmtId="9" fontId="8" fillId="0" borderId="2" xfId="0" applyNumberFormat="1" applyFont="1" applyBorder="1" applyAlignment="1">
      <alignment horizontal="center" vertical="center" wrapText="1"/>
    </xf>
    <xf numFmtId="9" fontId="10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/>
    </xf>
    <xf numFmtId="170" fontId="10" fillId="0" borderId="2" xfId="0" applyNumberFormat="1" applyFont="1" applyBorder="1" applyAlignment="1">
      <alignment horizontal="center" vertical="center"/>
    </xf>
    <xf numFmtId="10" fontId="8" fillId="0" borderId="2" xfId="2" applyNumberFormat="1" applyFont="1" applyFill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5" fontId="0" fillId="0" borderId="2" xfId="0" applyNumberFormat="1" applyFont="1" applyFill="1" applyBorder="1" applyAlignment="1">
      <alignment horizontal="center"/>
    </xf>
    <xf numFmtId="15" fontId="8" fillId="0" borderId="2" xfId="0" applyNumberFormat="1" applyFont="1" applyFill="1" applyBorder="1" applyAlignment="1">
      <alignment horizontal="center" vertical="center" wrapText="1"/>
    </xf>
    <xf numFmtId="3" fontId="0" fillId="0" borderId="2" xfId="0" applyNumberFormat="1" applyFont="1" applyFill="1" applyBorder="1" applyAlignment="1">
      <alignment horizontal="center"/>
    </xf>
    <xf numFmtId="9" fontId="1" fillId="0" borderId="2" xfId="2" applyFont="1" applyFill="1" applyBorder="1" applyAlignment="1">
      <alignment horizontal="center"/>
    </xf>
    <xf numFmtId="168" fontId="0" fillId="0" borderId="2" xfId="2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 vertical="center"/>
    </xf>
    <xf numFmtId="9" fontId="0" fillId="0" borderId="1" xfId="2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/>
    </xf>
    <xf numFmtId="3" fontId="0" fillId="0" borderId="5" xfId="0" applyNumberFormat="1" applyFont="1" applyFill="1" applyBorder="1" applyAlignment="1">
      <alignment horizontal="center" vertical="center"/>
    </xf>
    <xf numFmtId="9" fontId="0" fillId="0" borderId="5" xfId="2" applyFont="1" applyFill="1" applyBorder="1" applyAlignment="1">
      <alignment horizontal="center" vertical="center"/>
    </xf>
    <xf numFmtId="3" fontId="0" fillId="0" borderId="3" xfId="0" applyNumberFormat="1" applyFont="1" applyFill="1" applyBorder="1" applyAlignment="1">
      <alignment horizontal="center" vertical="center"/>
    </xf>
    <xf numFmtId="9" fontId="0" fillId="0" borderId="3" xfId="2" applyFont="1" applyFill="1" applyBorder="1" applyAlignment="1">
      <alignment horizontal="center" vertical="center"/>
    </xf>
    <xf numFmtId="0" fontId="10" fillId="0" borderId="2" xfId="4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15" fontId="9" fillId="0" borderId="2" xfId="0" applyNumberFormat="1" applyFont="1" applyBorder="1" applyAlignment="1">
      <alignment horizontal="center" vertical="center"/>
    </xf>
    <xf numFmtId="3" fontId="9" fillId="0" borderId="2" xfId="0" applyNumberFormat="1" applyFont="1" applyBorder="1" applyAlignment="1">
      <alignment horizontal="center" vertical="center" wrapText="1"/>
    </xf>
    <xf numFmtId="9" fontId="9" fillId="0" borderId="2" xfId="2" applyFont="1" applyBorder="1" applyAlignment="1">
      <alignment horizontal="center" vertical="center" wrapText="1"/>
    </xf>
    <xf numFmtId="1" fontId="9" fillId="0" borderId="2" xfId="2" applyNumberFormat="1" applyFont="1" applyBorder="1" applyAlignment="1">
      <alignment horizontal="center" vertical="center"/>
    </xf>
    <xf numFmtId="15" fontId="10" fillId="9" borderId="2" xfId="0" applyNumberFormat="1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9" fontId="8" fillId="0" borderId="2" xfId="0" applyNumberFormat="1" applyFont="1" applyFill="1" applyBorder="1" applyAlignment="1">
      <alignment horizontal="center" vertical="center" wrapText="1"/>
    </xf>
    <xf numFmtId="168" fontId="8" fillId="0" borderId="2" xfId="2" applyNumberFormat="1" applyFont="1" applyFill="1" applyBorder="1" applyAlignment="1">
      <alignment horizontal="center" vertical="center" wrapText="1"/>
    </xf>
    <xf numFmtId="2" fontId="9" fillId="0" borderId="2" xfId="0" applyNumberFormat="1" applyFont="1" applyFill="1" applyBorder="1" applyAlignment="1">
      <alignment horizontal="center" vertical="center" wrapText="1"/>
    </xf>
    <xf numFmtId="167" fontId="8" fillId="0" borderId="2" xfId="0" applyNumberFormat="1" applyFont="1" applyFill="1" applyBorder="1" applyAlignment="1">
      <alignment horizontal="center" vertical="center" wrapText="1"/>
    </xf>
    <xf numFmtId="9" fontId="8" fillId="0" borderId="2" xfId="2" applyFont="1" applyFill="1" applyBorder="1" applyAlignment="1">
      <alignment horizontal="center" vertical="center" wrapText="1"/>
    </xf>
    <xf numFmtId="10" fontId="8" fillId="0" borderId="2" xfId="0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0" fillId="9" borderId="2" xfId="0" applyFill="1" applyBorder="1"/>
  </cellXfs>
  <cellStyles count="5">
    <cellStyle name="Comma" xfId="1" builtinId="3"/>
    <cellStyle name="Comma 2" xfId="3"/>
    <cellStyle name="Normal" xfId="0" builtinId="0"/>
    <cellStyle name="Normal 6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61</xdr:row>
      <xdr:rowOff>34166</xdr:rowOff>
    </xdr:to>
    <xdr:sp macro="" textlink="">
      <xdr:nvSpPr>
        <xdr:cNvPr id="2" name="AutoShape 1" descr="Image">
          <a:extLst>
            <a:ext uri="{FF2B5EF4-FFF2-40B4-BE49-F238E27FC236}">
              <a16:creationId xmlns="" xmlns:a16="http://schemas.microsoft.com/office/drawing/2014/main" id="{00000000-0008-0000-01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3914775" y="5543550"/>
          <a:ext cx="304800" cy="415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61</xdr:row>
      <xdr:rowOff>34166</xdr:rowOff>
    </xdr:to>
    <xdr:sp macro="" textlink="">
      <xdr:nvSpPr>
        <xdr:cNvPr id="3" name="AutoShape 2" descr="Image">
          <a:extLst>
            <a:ext uri="{FF2B5EF4-FFF2-40B4-BE49-F238E27FC236}">
              <a16:creationId xmlns="" xmlns:a16="http://schemas.microsoft.com/office/drawing/2014/main" id="{00000000-0008-0000-01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3914775" y="5543550"/>
          <a:ext cx="304800" cy="415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304800</xdr:colOff>
      <xdr:row>61</xdr:row>
      <xdr:rowOff>34166</xdr:rowOff>
    </xdr:to>
    <xdr:sp macro="" textlink="">
      <xdr:nvSpPr>
        <xdr:cNvPr id="4" name="AutoShape 3" descr="data:image/png;base64,iVBORw0KGgoAAAANSUhEUgAAAUsAAAIjCAYAAACK+Dk0AAAgAElEQVR4Ae29+dMVVbrn2z/euH9A34jbt7ujo29U/9IRt42OunFPGKfLc6w6llWWxzoWWoOUlJYTioI4YIGKI44oODCooJQjOCCICoooiKgIiAMyD4LML/OMum58Fj7btfPN3GNm7tx7f1dEvpm5hmet9X2e9c1nrcx3r3+3/8ABp0MYyAZkA7KByjbw7wRQZYCEj/CRDcgGsIGayXLf/v1OhzCQDcgGOt0Gkh6OFckyCsreffucDmEgG5ANdKoNRDkvJM5YsgwLGCh79u51HLv37NEhDGQDsoGOswHjOOO8kAdjp+GWwQoYQe7avdv17Nrlj509PU6HMJANyAY6xQaM2+A5HEJ4zzjQOLGXZ0kCmYwkEbJj5063bft2t23bNrdl61Z/bN6yxekQBrIB2UC724BxGvwGz8F38F5ImvBiL7I0ooRheWpQeOu2bW7v3r3uyNGjTkEICAEh0IkIwG/wHHwH78F/8KB5mb3IkgQjSiPJTgRGfRICQkAIJCFgpBkSZi+yxPUkA0R54MCBJFmKFwJCQAh0NALwHzwIH8KLvciSuTouKMyqIASEgBDoZgTgQfgQXuxFlixuwqYKQkAICAEh4Dwfwou9yFJepcxDCAgBIfAjAuZd9ibLbdv01vtHnHQlBIRAlyPAW3I+K+pFlnxzpCAEhIAQEAI/IgAviix/xENXQkAICIFYBGLJkq/xFYSAEBACQuBHBODFXp6lyPJHgHQlBISAEAABkaXsQAgIASFQAwIiyxpAUhYhIASEgMhSNiAEhIAQqAEBkWUNICmLEBACQkBkKRsQAkJACNSAgMiyBpCURQgIASEgspQNCAEhIARqQEBkWQNIrcxy/Phxt2/fPvftt9+2shmqWwh0PQKZkeXWrVvdkiVLyo6vvvqqJT8mfOTIEXf//fe7U045xX3++ectVzptoC3XXntt4m+G0uann37a/eY3v/F533rrrZa3u9sagA4mTZrkHnzwQbd79+5u6776G0EgM7JkcEMI0eNXv/qVe+KJJ9zhw4cjTcnuth3Jcv78+R47yBKi58GjkB0CePBvv/22e/bZZ93GjRt9RZs2bXIXX3yx10PWD9m4+rPrrSQ3gkDmZHnFFVf4pzNG+Mgjj5Q8pRdffNF9//33jbS57jLtSJZPPfWUH6QTJ07MDae6ge2gAnE2gn0uW7bMzZ0715GeZYirP8v6JLt+BDInS7yi0NBmzJjhSeDmm28um5Lv2LHDkQapLliwoJfnyY9vzp4926eTj9+Wi5JtKGPOnDnu4MGDHpHQEJcuXeq++OIL9/zzz7s33ngjcRpsUFaqd8+ePd7jW7VqlZ+mIQ+5yP/uu+9MhL+2OmnXwoULPQZx0/Bjx465L7/80t13330+D2e8Supav369v968ebOv4+WXX3Y9PT2+HsqRj/qnTp3qvv766zJ8WPPEOyKdNrAOSj0clA37Ym23OMtjHQpxjurK2rhlyxbf3smTJ/v2oK8whO0lz9q1az1OzDhop/XZypjcNWvWlGFr6ZwrtYv0JF1iJ4sWLXLDhg3zmIMfOsVu6Lu1BVyI555puenU7Ig+oVtsGIyjs6d66zc9hFjF6TZMB0uWu7TGHVpGOte5k6URhZElhMeT+9xzz/WGatP2a665xkEKBAiub9++ZelMTzFIC59++mkvGXi1kEZIlgMHDnQsBVg9w4cP98RhcsJztXpt7bFfv37uvPPOK8lEPsROwGgZPFYf57PPPtvfx5ElA4r4MD/X1GXe5vXXX+/7cOGFF/r+MXDvvPPOsjK0gYHFgItrw0UXXeTbYW2wvoQPN4uzPLXoytrYv3//Mpwvu+yy0vQWEnnggQd6tfe5557zBDN69GifNm3aNI9hqD8elNFQS7sgW9oQ4gpGTL03bNjgwDJMA4ft27eXdAEWYTuidoS9YkuhjFGjRpUchUq2hI3G1U991XQbhyVtAN8oWUdx0319CORGlhg0T37zmCZMmOAHMh4IpAZZzpo1y/Fi6PHHH/dGRx6e+nfddZe/5wnO2s6bb77p741wd+7c6QYPHuwHP2lRGYcOHSq94Ln77rsda1EYPwbKgMF7iAYMrVq9Ria0/d1333W0g2kzxnrvvff6gcJTHnIkD+uQtG3MmDE+j5FQWDfkhtf32GOP+TycIVD6bUREm5E/ZcoUXydLGtR52223efJcvHixJ4bzzz/frVu3znsaYRsgAcPY2mB9qUSW1XRF262NQ4YM8V4YJMU17Zs5c6bvaji7gCii7eXhSX4eAOjfyMQeDiFeXFdrF9gZntgH7fzkk0+8XiA9vF50h21Q70cffeRnPXjW4ENclCyjdkQei0PP6JsHKJ5wNVtCv3H1085qujXnA3sAK3RreJOmkB4CmZMlRhQ9eALv2rXL9+Kdd97x6eEg5Ul/wQUXeKVDHBYwegwLAiLdBjpPbeqwwUV+jI8pCYMDGcgnD0ZPCL2Eam+ak+qthWDwjqiX9VrkEKyctd9HRv4Y6XC2YHHhOiZ9Y3BAoNY3HkxG2uBbSxusTaEeLM7aWYuurI0hphbHGdwZ2GBig5n2QjB44EzHeaBcfvnl/mEGUdrLLjxOppzRUK1dkJ6RJQ8Jli7QBdhx4HmH9mA4hl4+cWEe618Yhx0SouXC9ibZUijH6q9Ft0aW9nBCPtu30gZkKqSHQOZkyRMWr+/KK6/0A5pBEK5f8XkMAyfusEFKfp7aEEKYz9LtzXs40EOI4gwxjDPDD8twXa1eI5OwXouztoVEYfKjeSw+PMeVi4sL39iG2Ng1fYsrF22D3VfqSy26srpCTC2OcyUisf4z4Hm40AeWWozo8DjjQi3tgnSZwRguLOs888wzpU+CQnsAC0K0rWEe618Yl1QOWdVsKU5OLbrFa33ooYdK/WJ5irGyevXqsjXrONwUVx8CmZOlDT6ekramE74JN6+HNR+MF+/CjldffdV7oEyHIcpXXnnF30c9yzjPIoQhzhDDODP8sIxNnSrVWw/BQBQWrJwRqsWH55BgLD4uDg+aqeRZZ53lHn300RJ2hiFLDEYmldpgbTJ9UafFWTur6YrlDmtjiKnFcTZvCdJCflIwjwm7YPrNeqOtYUfL1NIuyqBzXs5AvrYGjm2h69AerF1pkWUtthRXfy26pV9M11nuYFnm6quv9sRpSzBRrHTfOAK5kSVNZABAPjzhWWci8BaSuEGDBpU8TqZlPFUxsrj1qpUrV/r1IBvEK1as8OtPyGBdlGBrhUz5MHpIIBygoXGGA9sXdq6meo1MKhGMTSFvvPFGTxTI//DDD31brP1WZ3gOCcbi4+JsINI3SIOBQ2D9ysglrg2sE1LG2mB9ue666/ybcWRE81TTFWWsjSGmFsc59BqnT5/uvR+m1vZSx6ayRhS0kSNcxvAdDP5UaxckzoMXMrGvB1jbY7Zj66ChPdjyQFpkWYsNx9Vfi275GoEHo627s6QwduxYj1mogwAuXTaIQK5kyQC2t7asJ0KKGIS9GeVpz6DgEw4IFA+AtU2IhgGDZ8qAu/TSS/0903veFmJovHkkDwOAgWeeAy8TQkM0ryGMizMqPKBq9RrBVCJLBj3tpG0QEy+4WJqwewZkXAgJxtLj4kizLwHADOzAkP7bCwYeIDxIQnyibbB1QvLccMMNse2spiuI0NoYYmpxnAngRv1MGXmYmb7BCbwIkD4v+GgPB4SfFKq1C13bVJ6XYMhCNnjdcsst/sESkjjY0S4e2OiM+mlznM2EcWZbUZKtxZbi6qdcNd2aA8KYYH3+9ddf9w8A8OUzJ4X0EMiVLGm2Kdee6MRhFBgzgwfDxIghFfMC8CRtvYk848aN89MyIwOTQTxlkYGx8OkMXkucQYdx4cAOoa1Wby1kibxQDgPxySefLHtBFdZp11GCIT4ujngeOniBPCjoOwcvwFjjM08Tz8MeMrRh5MiRPp95lsggP2mU58ynPOGLNOqqpitrY4ipxXEO22vtoT4eTLzYC4N5jCwzGImG6eF1tXbxoIYgzcaokwd3uH6+fPnyEkbgkhZZ0s7QBpJsOFo/pFtNt+gXvaEn+sQBrtgDZRXSQyAzsmykiUwhMHqestGAUSSlhXkpSz5kpRFqrbdaXcjhLWVa7Uqqjykn9cQNlLAvRvRGlibPdFCtnZYvTlcmq9qZNtJW2hwXjCx5kNL2WkK1dlk6D8u4YOnN9CtOLnEh/kl5KtVfSbeGZZLuk+pTfO0IFIosa2+2cjaLQBJZNis3jfJ4gfPmzfMvrpgpQJoKQqDVCIgsW62BFtVfZLK0FyJMKR9++GG/jNIimFStECghILIsQdFdF0wzWRNjyaLWKW5eCOFZfvbZZ/6LhKK1LS8MVE/xEBBZFk8napEQEAIFREBkWUClqElCQAgUDwGRZfF0ohYJASFQQARElgVUipokBIRA8RAQWRZPJ2qREBACBURAZFlApahJQkAIFA8BkWXxdKIWCQEhUEAERJYFVIqaJASEQPEQEFkWTydqkRAQAgVEQGRZQKWoSUJACBQPAZFl8XSiFgkBIVBABESWBVSKmiQEhEDxEBBZFk8napEQEAIFREBkWUClqElCQAgUDwGRZfF0ohYJASFQQARElgVUipokBIRA8RAQWRZPJ2qREBACBUSgYbJcuXqt0yEMZAOygU6xgWr83DBZVhOsdCEgBIRAJyEgsuwkbaovQkAIZIaAyDIzaCVYCAiBTkJAZNlJ2lRfhIAQyAwBkWVm0EqwEBACnYSAyLKTtKm+CAEhkBkCIsvMoJVgISAEOgkBkWUnaVN9EQJCIDMERJaZQSvBQkAIdBICIstO0qb6IgSEQGYIiCwzg1aChYAQ6CQERJadpE31RQgIgcwQSIUsd+3a5TZs2OBWrlzpVqxYoUMYZGYD2Bi2hs0pCIE8EWiKLI8dO+YN95tvvnGHDx923333XZ5tV11diAA2hq1hc5AmNqggBPJAoCmyxFh37NiRRztVhxDohQC2hw0qCIE8EGiYLJkGbdy4MY82qg4hkIgANqgpeSI8SkgRgYbJkif6wYMHU2yKRAmB+hE4cOBATd7l3n373Zr1G93KNRs6+qCP9FUhfQQaJksW2r/99tv0WySJQqAOBI4fP+5fLFYrAokcPnK0Wra2T6eP9FUhfQQaJkveeisIgSIgUIst4lF2S+imvuapU5FlnmirrkwQEFmWwyqyLMcjrTuRZVpISk7LEBBZlkMvsizHI607kWVaSEpOyxAQWZZDL7IsxyOtO5FlWkhKTssQEFmWQy+yLMcjrTuRZVpIpihnyZIlbs6cOSlK7GxRIsty/Yosy/FI6y5Xsly7dq278MIL3XnnneeeeOKJmj894l/a9u7d27J/p8y7/mnTprlHHnnE63jGjBluwIABbt++fWnpvOPkiCzLVSqyLMcjrbtcyfLhhx92X375pSfJkSNHui+++MJ9//337oUXXnCfffZZYp8WLVrkLrjgArd79+7EPFkm5F1/SJaQ5Ndff+1xyrKP7Sw7DbJ8cNRo93/9p/9SOl5+ZWoJEq4t7eOFn5TiuSb+X077lVu9Zk0pHllhvlJCThciy2yAzpUs77vvPod3ScBzgoSWL1/uHnzwQXf0aPwHw6tXr3bPPvus69Onj5s9e3bpX9v4QYVly5a55557zs2bN88dOnSohBA/srBq1SpH2VdffbX0Ix/cT5kyxS1evNht3brVl7cP6yHt9evXu5deeqlMXlL9pcp+uIDIaR/ykYM8Av36/PPPHf9pYoH20Xarm77w4KAs8VOnTi15ltG8yKDtECr1hQ8Q2rpp06bYflCONm3evNnXEy1LOm0FG2tHu/wwSrNkyQ9zDLlhaCzBQXp/6nu+tzsI8Y/n/dkTI2Vuv2OEvyYPBEkgD/GktyqILLNBPleyZBCOGTPGvffee+6GG27wg/ree+/156TusXZ36623utNPP92NHj3a54UYb7/9dnfllVd6Yrn55pv9VLWnp8eLgUjOPPNM17dvX19mz549nlx+/etfOzzaESNGuDPOOMPddNNN3qghEcqcf/75vn1Dhw51l19+uf+RkLj6o239+OOP3bnnnuvGjx/v/v73v3tif+2113w2yGzQoEGlhwSR1GV1Q5iUO/vssz1B3njjjV6WTcPDvJT96KOPfDpeOv34/e9/7x8KpFGGJY5rr73W9wNv/K677vIkSB9pE+0k3/333++veVgRwHT48OFeL+iIsrTLCN1nauDPz08/y1U7Tj+zTwOSfyzSLFnyv+X9r7iyzDs06XiVRoRGqsRRBoLlHBJkq71K2i2yNO2le86VLPFU8Fzw3vjFGAYvnp95YUldi06D8baYuu/ff+J/YPHaIIj333/fi4Bghg0bVvI2yQ9xLl26tFQFhG2Exb9uQg72wyAQxD333ONJjQLR+ktCnPNkMmvWLJ/H4mkH7aFd1cgyWjdYTJgwoeRZhmS5fft2d/HFF5f6QV68bsiPa84cRnAQ4SWXXOK2bdvmf9Ls0ksv9Z68tRPZd955p/+ZMx5kPIDMw9+yZYvr379/GclbuXrO1YjS0uuRGc3bLFlCdkylbaoNCZpnCPlBjha454jzLJEz/rEnLGvLziLLbKDPlSzDLjBdxOvhycw0FUIKp9Jh3jiyghCY0uNpMQ1nYDP4CZwhDQu8XebFUjhlRaaRJS9RKI8c5HHgxZqMuPpNtp15AUU+ykJgtsZajSyp29phssL2c23p9APPkCm0tZO6LJ32GgbIAh/awZm2RV8U8eKKNVEGPl4lfTa5hinlmgnbtu9wZ/3uTxW9S/I0E5oly3Cqbd6jESLEGUeWtJdyECzT9M2bt/jp9xdffuk9TuKR0YogsswG9ZaQJUTHNJLBz1vxiRMnuunTp/sBG0eYUbLCo2SqzPSbabINbCOKkGyALVre4oxkyA+pjBs3zk89mX5y2Oc7ceVDdcydO9dPfyGuesmSuq0dJjNsf5hOO1i7hRStjZzBDuKrRpbReqw+CII0jlAu16y/NhvWrFkbS5iQKGnNhmbJMlp/SJ4QXhJZhuVs3dLOoecZ5svjWmSZDcotIcsFCxZ4gmSNEY8G7wvjYuprL4DC7kbJinub5pLPBjvEQgjJhvtwOuoz/ECgRh54aqE8y2PnaP0Wz9nqtiUA4sL81TzLcMpucsP2h2TJSyBInWl1XKhElpRlCm/rupTHq+eFEn1gOs7LsqxC1MOEKJv1KK2tWZClTcUhSvMQwSnqadIG4u1lD/mNXCkHeeYdRJbZIJ47WUIed999t1+zZE2PlxSsj+FR8rKH9cVogOwuuugin480yKhfv34+L+ugeHO8AEoiS2QPGTLEPf/8835Njnte9BhZ8nYZeayfIo/jjTfecB9++KFvSrT+sH1GlhAN5ZiOs7xg03CmuUx/kce6Iul4xFa3rUNC2JSHzGgrxEcIyRKP+rrrrnNjx44tvbSh78imbCWypN6BAweW+sjaJPmfeuop3y6883POOaf0c2fo5vHHH08k5hCDWq8hxz/++a/+SIsoqbtZsqxEiKGXyZqkvQ0P+2zeJHF2HRJomDePa5FlNijnTpZ0gymjBQYpZMJAZjpuLycsnTMDffDgwe4nP/mJJw8MkYF+0kkn+YOXObxxNs8o9MxMDtNJXnYg47TTTvOEZoRFHjws0k899VR/INO8sGj9JtPOeG28lUY2b9lZ+ws9QN6WUyfpvPXmS4CwbpYjiCcdOZBpHFlSH5/+QJinnHKKbydv7W2qXIksKUs+8lsf+WTLlj3Anek87aQP5AHPOH1Yv4tybpYs6QdeoL3gMU/S+geZWlrUU8Q7D9+kY5t4n+Q3D9Pk5HUWWWaDdEvIMtoVyBMjqxTwnPDSOFugTLVylpdBbzK4xpMLCcvy8evvcTKtbFi/leFcLZ06o+0Py1dLD/NyTRsb/aX6pD6G/aA97RLSIMt26Wst7RRZ1oJS/XkKQZb1N7u+EkeOHPHfFc6cOdN7i3y8jRdp30LWJ025i4aAyLJcIyLLcjzSuusKsgQspq+sj/I2GaKEONvJe0pL4Z0oR2RZrlWRZTkead11DVmmBZjkFA8BkWW5TkSW5XikdSeyTAtJyWkZAiLLcuhFluV4pHUnskwLSclpGQIiy3LoRZbleKR1J7JMC0nJaRkCIsty6EWW5XikdSeyTAtJyWkZAiLLcuhFluV4pHXXMFnyazl6m5yWGiSnUQSwQWyxWlizfqM7fCT+N1OrlW2ndPpIXxXSR6BhstywYUPZD9qm3zRJFALVEeDfMrHFamHvvv2eRPC6OvmAKOmrQvoINEyW/JuX/f5j+s2SRCFQGwLYILaoIASyRqBhsqRhPNH5IQgFIdAKBPj1pVq8yla0TXV2HgJNkSX/042xrlu3zv/M2vHjxzsPIfWoUAhgc2wTgs1he+GPshSqoWpMxyHQFFkaGkyDMFwW2nkzqUMYZGUD2Bi2pqm3jT6d80IgFbLMq7GqRwgIASHQKgQyJUt+Cuz48fb5qa9WKUH1CgEhUHwEMiFLSPLm4be6M//139zMmbPKUOB3Hz9ZtMiNHTfePfXU392mmF9GtwI7du50c+fOK1uXgnznznvfPfLoGDd58pSy6Ri/F0kcaZSznQpNHudGyvML54sXL6mpzWFduhYCQqBzEMiELD/77HM3+Jrr3P4DB8qQgnRemfqqu/W2O9y6devdnDnvur9ceFGvT5C+XLbMXT7gSvdP//wL/6vT4Y/xvvrqNHf9kL/5davXZrzu0+3HbG+8abh75tnn3MZNm9zd997nnnv+hbL6uWmkPL+OfdHFl7pVq1a59+d/4NuWtA9OrwoVIQSEQEcg0BRZsicMRPLpp0tLvy7e07PLTZr0tLvwokvcvPfnlxEmnt/V11zrVq1e7cGDPO8f+WCvTZ3Y6+Sbbzb7eNs4igKQ5vBbbnPLln3ly7Mlwg1DhznImTJDh91Uqo86qIs6LTRSni0lRo1+yHuqyLE2z5r1lonVWQgIgS5AoGGyxMv68/l/cS+8MMVvLH/Z5QP8JmRr165zw2682f32337np62VvsPEI4TgVqyI/3c1iDgkS96AhvudoB/bQS8uL2XDt6aNlGczNeQg3wJ7q7RqfxVrg85CQAjki0BDZMm3bUyl33tvrm8t3hbT3/GPPeHvo8QV1yWbko9+6JHEl0BROY2QncgyDn3FCQEhUC8CDZFlHGmFxBZeJzVowYIP3bXXDXE7d/YkZek1DY+rV55lInxKEAJCIEUEGiLL6Noj7fnww4/cLbfe5t9cVyNL3oYPuvoaP22v1JeoHOq95trr/fok5fBwqZN8rFsy/beXQbzkGThocNk0vJHyvMixOqyteNCahhsaOguB7kCgIbJkCv34ExP81JtrPse5+5573etvvOlRi5JcCCVrnRAlZBYG20o2/C4zKoe6eNny0suv+BctrCcOuHKgl8WLJd6gI5/AEgFLBRAqBHrgwEFfppHyECPlaBsvtSBsyFlBCAiB7kGgIbIEnt27d/tvKfuc8wf3b787xz308KMlry5KcgYnW9L+bdiN7penn+H+eN6fS8c9997vtm7d2uvlTZycHTt2+HznnPtHd9Zvf+feePNNT4LUgXdLHGm8jedlEwGyY7pOaKQ8L6J4C08/f/Ovv/Vv+0NS94L1RwgIgY5GoGGyNFT48Yw0iGPz5i3+MyB+JKGWwAfneKPRgPcJKVvgnk+ZzOu1+FrLW37OafU1lKlrISAE2gOBpskyrW4yfeZ7zbQDBMc3kXiHCkJACAiBRhEoDFk22gGVEwJCQAjkgYDIMg+UVYcQEAJtj4DIsu1VqA4IASGQBwIiyzxQVh1CQAi0PQIiy7ZXoTogBIRAHgiILPNAWXUIASHQ9giILNteheqAEBACeSAgsswDZdUhBIRA2yMgsmx7FaoDQkAI5IGAyDIPlFWHEBACbY+AyLLtVagOCAEhkAcCIss8UFYdQkAItD0CIsu2V6E6IASEQB4IiCzzQFl1CAEh0PYINEyWK1evdTqEgWxANtApNlCNzRsmy2qClS4EmkWAQaggBIqCgMiyKJpQO3ohILLsBYkiWoiAyLKF4KvqygiILCvjo9R8ERBZ5ou3aqsDAZFlHWApa+YIiCwzh1gVNIqAyLJR5FQuCwREllmgKpmpICCyTAVGCUkJAZFlSkBKTPoIiCzTx1QSG0dAZNk4diqZMQIiy4wBlvi6EBBZ1gWXMueJgMgyT7RVVzUERJbVEFJ6yxAQWbYMelUcg4DIMgYURRUDAZFlMfSgVpxAQGQpSygsAiLLwqqmKxsmsuxKtbdHp0WW7aGnbmmlyLJbNN2G/RRZtqHSUmrya6/PdJdecbU763d/8gfXxLUyiCxbib7qroiAyLIiPB2ZuHXbdnf90OHu56ef5Q8jS7snjTytCG1NlkuWLHHjx493nBU6D4F2I8uDBw+6Z5991h9cK9SPQJQoDxw86DggzZAw65fcfIncyPKRRx5xP/nJT0rHKaec4gYPHuy++OIL9/333zfUk2nTpnl5nJsN3333ndu7d68/uFZoPQKNkOXatWvdmWeeWbIzbO6ss85y48aNc3v27Mm0U7t373YXXHCBP7hWqA8BptlGiJwhyDiyJK0VU/LcyRLDxaD69u3rfvrTnzpI8/PPP68P1R9yp0mWMvSGVJBpoWbIEtvCxrA1bA7SvOmmm9zhw4cza7NsqDloWZcMydIIM/QqLZ28eYfcydK8QLxJpiwYMXHffvutW7Zsmfvkk0/cgQMHPA67du1yH330kVu9erW/pwyew3PPPecWL17spk6dWipvwG3dutVNmTLFzZkzx3G9cOFC980331iy279/v5s3b56XQX14kdT33nvvuT59+viDa2tDqaAuckegGbKEJM2727dvn5/F/OIXv3DLly/3/cCWNm/e7G0P+8NWwrBz5043e/Zs98wzz/jZD/ZpAZvBDrEz8pCXEC4V4dEAACAASURBVJLlunXr3GuvveYPa4eV1zkegSgpfrV8lc/IGqWRpJ3Jm3coBFlicDzxefIzhcIQCYsWLfJkyBSe8MYbb3hv1KbzJ598chlZQqx4qknpkC6EaOmcWfNctWpV2dQtbIOvWH9agkBaZHno0CE3dOhQZ2QJUUKQJ510UskWsBvshxC1I+zkvvvuc0ePHvUP9ccee6ys7GmnneY+/vjjElkiK1wKuPzyy11PT09LMGynSqNkecfd9zsjTCNJO3cFWdo0/JxzzvEG9+CDDzqMuRpZ4h0MGDDAnX766d77ZH3x5ptvLpGlpWOo8+fP9zIffvjhUjqGfvvtt3syDdMhXNZNQ69AnkAxhlgzZMlDkYcwxMdMBLu48sor/Zr0xo0b/UPzsssu87MOZh4XX3yxty+8xNGjR7v+/fu7lStX+pnIddddV3qIMxtBFuSLDX766ac+bfjw4d47xaOFKJn5YNeQLGQLmSpURiBuGv73Z17whYwk7dwV0/BrrrnGe3N33323N7rf//733pOsRpa2cB+uO+EdYIicLR0jxkgJYToD4txzz3WXXHKJn4YziCZNmlQqL7KsbMitSG2GLLGL8EDv69ev992AREkbOXKkJ1Ns4YYbbigRok3RWcp5/PHH3UUXXeTzM9MJbQphPIT5GoNj27ZtvV7wRPO3Asd2qTP6ggdiTCLLrnjBg/FYeP/9970R3n///X6NsNI03MiwGllWSw8HkF3TJpGlaaU452bI0jzLF1980TF7iLML07+d8QjXrFlTmqJDsGPGjKlIliFacTYksgwRqn4dfjoEWT467gn/Rtw8Ss7kaUVo2ZolnTWyvPPOOx3TaAz6jDPO8AZLerhmaZ7htddeW3r58sorr3iyxSAtnfUhpkeE0FB56p933nkuTCePLdzHGboXoj8tQ6AZsrQXPDZjYX3ygw8+8H0xu5swYULpszW8Sft8jCl5v379SuuM9tkb9mheKVN7gn1b+cILL/gXRtRrdZMe2qAvoD8VEYh+lA459v3LJaUXPF3xUboZXHQajhG//fbbHsCxY8d68mMtEiPD6HjqU5bpzl133eXXOZnC8yby7LPPLpElpMe0ivxWHnLkHlmkszDP/dVXX+2NnjVNlgGYnkGwDBLWo5566qmyN+gVtavEzBBIgyxpHOuFeJesPfI1BC9beGjyeRE2AAFiE7feeqvbsWOHX7vEDl5++WWHZ2ovayBL3przSRJxkydPdqy5Y8OcWe8UWaZjDkyzWZfkRQ4H162Yeoe9yd2zhKzsOP/8893MmTNL3t3XX3/t1xRJ5w2jvcCxt+F4jxg56RDlAw88UCJDOsUgYO3Jyl944YVl6XgZEydOLL1RN2IkHs+CTz0YQJRnYCi0FoG0yDL0Lu3BzGdDkCe65vjjH//oFixY4O2A9Ud7EPMwZTZDHjxSAi8EsV3iIMrbbrvNf/AeNzuRZ9laG0qz9tzIstZGQ1p842jT42i5SukMCjxEpkZ4ovYd54wZM8rEIJt8cXUgQ/+qVgZXy24aIct6G4u+WQLCrsLAlJx4zkkBO6G8QncgUDiybAZ2puZ4i0zTWf+0/+KIfnDcTB0qmx8CeZBlfr1RTe2OQEeRJf/7y/8AM6Vi+jRixAi/6N7uSurW9ossu1Xzxex3R5FlMSFWqxpFQGTZKHIqlwUCIsssUJXMVBAQWaYCo4SkhIDIMiUgJSZ9BESW6WMqiY0jILJsHDuVzBgBkWXGAEt8XQiILOuCS5nzREBkmSfaqqsaAiLLaggpvWUIiCxbBr0qjkFAZBkDiqKKgYDIshh6UCtOICCylCUUFgGRZWFV05UNE1l2pdrbo9Miy/bQU7e0UmTZLZpuw36KLNtQaR3cZJFlByu33bsmsmx3DXZW+0WWnaXPjuqNyLKj1Nn2nRFZtr0KO7cDIsvO1W079kxk2Y5aa6M2H7vyCsfRSBBZNoJad5cZuKCv48giiCyzQDVjmXvXrnRLHr6rdHz51Bh3/OB+X+v+TRvcl08+4paOuddt++QD577/zqeRJyzD9Ya3XytrKTIq5du/cZ1bOm6k2zBrmvvu+PGysnE33z78sDt2yin+4LreILKsF7Fs83+6dq6bMu8hd+zbI76iI8cOu3eWvugemHqVe+bde13Pvq2lBqzZ8rmPJ43jiVm3uAOHT+yNVcrknNt7sMeXJQ+ykEng/PrCp9yjM653m3auDoskXo9aNsL9cuZJ/uA67ZAbWdoePPYz/nbmZ/ejgT1x2J0vTOPX09nnxLZ9YHsJ29rUyrMFLr+Ozk/+syVF3K9Y2y+o8yPBtIEN0t56663SL2VH0/ltTLYZsIDMcGsKdgBkL+lKgb1Zpk6d6oYMGeJ3kYzLa3sEhZtdxeUjbtVLT7uF993svpk/xx/bFi1w3x094navXOZmX/Ent+XD99zu1cv99bo3p/o08lh+zvNvGui+evbxsiqQkZTv6L49vs7Du3a6LyeNdVs+ft+57793G9+b5Y7u6z0IQqJslDCbIctaMOfX0WfNmuW3MDFbmDdvXskWACfObs0u0Rn2ZjaJ3bHlRFwItzwJt6KwvNgytkQ7kMd+VKH9Vks3OVmdt+7+2v3p3v/uBj/+K3f46AF3/NtjbtSrgzwRbtyx0r0w90F32SP/y+0+sMM3YfK8UW7E5Ivc+19O88fCVW+XiNDaiJzrJ57lnnr7DoeM25//i5s0+y6fPGPhk27moqd9PHLIS57Fq9+14mXnkCizIsxcyBKlsz+JBYwt3JrU4jmTl42jMJrQKDEedoGEEPmpfzaTgnxsj3DObHRPHgwrbqsA5PNr6oMGDfIbUzFY2HcFYl65cqVvBnWG6fPnz/cbmW3fvt2ns4cLRM2vr9OOV1991W9wZTtK+kw//Dl27Jgn+FNPPdXnqUSE7PkDgVfKY7IhqzWvPm+3pTNe34rJT5XuIc1FD9xaureLo3t2uXlDLnV4ipVCmA+SRNbxw4c8UULYPcuWuq+eHudJM5RjROnPP0zDw7gwb6XrRsiyHsx5yLGpHbo3WwD/TZs2+WYRN3r0aL9pGfZrh5EY+4pHbWHgwIGl3UWtb7Tpnnvu8QTIw5gHPw9zNsajDjZRY8M0bAmbwraQa/sFVUu3erI6Q4x4frc+9+cSWUJclz78j27n3s2+2kNH97thk85xqzZ/6u8nvnWbe2n+oxWbRN7rJpzp9h/e4/Ot2LTEDRhzqvc2IdsPl7/pSfKeFy9123ZvdA9Nv9Zt2La8l0wjSs42DQ/jehVoMCIXsqRtcU/okBCt/RjI9ddf7wnLyBLjhBxDT5J9xNmQzOLIC1kaeZq88IwcSDrck4f8Q4cO9RuU4SngaYSeJAOEeiyOfnBY2LJli+vfv7+jPdHAICGeM2SYRIQQLZtisdNgUp5QNqQFYUKOa6ZPdscPHgiTS9d4jlHvkUS8TcriGVYKYT68TuqlvgW3DHY7Pl/sp/WHd554iIRyIEYOQrhmGcaH+ZOuGyXLWjCnTrazhQwhLILZArs9Esxe4javw1bY757tmC3gPbJDaNS7ZBtmbIQ9yS2w4+SAAQP8Q3358uU+nfIWkMuDH9uplm5lsjq//+V0d/eLlzjO5llG69q6e4O7atwvHGcCBAdhMo2eumCcO3h4X7SIJ8NQHtN47jnjQY6Y/Ff37Lv3uzEzbnDvfvaSe/XD8b1kEAExchCMLKPxPrHJP7mQJUZXi2fJE/2KK65wX331lSc1I8u4PuIR2lPcjJop1EcffeQHAQPGBkFceYvDY+Qpbp6lxdt59erVfgBs3LjRR9Gm22+/3W+IRsTSpUvLPE8rFz0nkSVtxMNgm14GUDWyhLQW3nuTWzTyFrdxzhtu3pDL3PyhV3iPL6yTKfmcq853B7dtCaM9sc772+WuZ3n8dNEyQ8DRfKxT7l2/xk+710yf4qf1lj/pHJJlUp6k+EbIMpSVhLnl4aEXkh3xxJndMTth62bIk50dFy5cWHoYm82hMwsWFyVXbPGqq64q7UNOfuKYwTAuyM8DO3zQE2ezr2rpVn8WZzzHwY//2nt0eHohuVl95nkyFf/efe+OHDvkiQ6CnbX4OXfNE2e46yf+q/cSrQznqLyQLEnffWC7W7dtmdu+d5P3bOPWPEN5XIdkGU1r9j4XsqSRGCGeJIcZQdh4ntTs+81UBKMhjxmt5bMN7dmQrF+/fqUnOAZ36aWX+uk0++4g59e//rUvX4kwqXP8+PE+P9cWeJpPnz7db7XLNG3u3Lkl4qVtyGd96d577/XTuMWLF1vRxDMGH0eEeA027U/KkyjUOcdUec7Afm73qq9K2Q5u3+qJ0r/gKcWeuPhm3ttu4d1Dq76gqZTPv+gZe7/btuRjT9YLhg9ycR4mNRadLKM2FpIldoXOWItk22XWr7EHtmSOI8a4ODAIidHUEcaFxGjpYVx4HZducWmfv/3uuHto2jVuxsKJXnSU3IiEHCfPG+1ue75f7Asc8kB6V4z5Z8c0OwxReVGyNPkT37rdfbziLTf+zRtd/0d/5l77eIKvN5Rl1x1BlhgHG9NHjdM6iado02gzumhe1nuYDvOyhOkOi+uQHFNx1h3xLC0g77LLLnO7du2yqLIzJIp8vModO04sSlsGZLKexZQc75UXS/bUpx8XXXSR915Zs8LzwCsMydbkhOc4IkQmfaathLg8oQyu8e542cJbbgJriHiWO5Z+4u8hrfeu+av75oPeC+F4pUyhty3+yOdN+lMpH/UvHXu/f5m05KE73eGeHV5e3HQf+e1MlugU79J0i76GDRvmX/CZjaIzC3FxpIXEaHnDuGpkWC3dZKZ9XrPlC3fmLf/B/e7O/+rOvfu/+et/GvK/uyvH/dy/yIEop334uBs6qU8ZUeJp8pb7+x9s9MSLnH91S9a8V9ZE7kOPk3VQyBDStPDF+gUOsvxoxSz/Jp635Pe+1N9t2bXespSdO4Is6RFKx7MMDYx4yIo1HdaQmEZDetyzngRpmbGGqDAthjAxOp70eJZcW2CdiCl9GGdpnKkHL4FpdqXAeiJrS7QZj5N1JF4SWSAdQo2uU1m6nSkfepaQNV400zNeItEeyB/SZ9qXRPIQ5XuDL/RkhWw+I5rd/w/u4LbNfoqNl7dh9uux65E7li50866/pNcaJ58MfXfsqDXVJeUjA2/SmYJD0ksfvccTNy96vnwqfjG/6GRZaRpeAiS44AHLrIedRDl3+jQ86HqvaTNrmJDdrv3bwmyeKFm/XL7pxIOEz4guefhkv54Jke4/tNt7hjv3bfHxlm/2p5PdsEnnlj5NYtrNiyWWAvBCeUOOtzt62tX+zXhZpT/cdAxZ0h+mOXiYIYnhGTIdtoM8bGWL18Z0GMOESOxlDnKYItmLF57+V155ZRkJkxcyDcsYuBAbXmeUKG36bS9zyG/eAi+F7DocIHgbrDfZSwGrI3qOkqXVZX3mzFcAp59+un9IxLXbZPJ5z/Szf+amn3Oqe+mX/9OvXfKyhjfkz/y//9nNOPfnbsYf/sUfb11yjl9nxCNk+r3x3Zkmxp/xIucPG1B6u56Uzwod3b/Pf4rk65v2gltwy9Vl5G357Lzz7xMcRyMh6zXLpBc8rE8SVqxY4e0PXVmwFy9HjhyJfcHDQ56llTAkveDhpR5vxpNe4PACCUehWnpYV5bX4bSZqTWfEuF54nXaMe6Nob4JfCp09p3/xfUZ8X+7Xw//P9zbnz7vCXLRqnfc+SP/h5+ak3H+stfcWbf9R++9nj/yJAexWsAzpR4Cb8OHPPlv7qan/+Aeee06/+mS5QvPU9Y/4ziyCLmtWVrjjXBCL8vS7Gx5bBrO9Puuu+4qfXqBVxZ+0sP9Cy+84D/HwPgwsEmTJpXWRiEeyJY1TwgSjxJPLhqQw8sWPutADoEB07dv39LnJRMmTCh9wkQ665WsZdkLIrxk6kNWGKJkGabZdS15LC/n44cPx3qQYZ6sr2kDBJtFyIIsQ1uwT4fsoYlNYJf26ZDNXrABAp/08JCdOfPEA8c+HULn6Bt7tZeO9jDkwcs1nw7xQMQ2bfkl+ukQ5ZGDvLhPh5LSs8A+LZmHjx1MXF+0OpjOk69agDz5RKlVIXeypKO2cB71MA2EKFkSjwHdcMMN/ltEvluMfgBMGTxSPvhlqs/0luk5ARLCy2TKTB570RSe7aUTJMkLnJNPPtl7eXy0Hn6ojJfLi52kdL4HZR0SzyMMtRBhLXlCmZ1+nQVZhrYAMb3++usOe0LPp512WtnLPNLRPWnkQefhx+IQHw/Pn/3sZ95WmA3ZcozZsH2mhv0OHjzYy+F7WmwEW7LATAubZmZBPdgpMixUS7d8OmeHQEvIspnuYEB4iEkhLh1PwL5ZSyoXjccbSPqwnbzV0qPydF8/As2SZVyNcbYA6aFrPgiPC8TzoEXncSHOFpLWsrHdkARDeZAz7Uiqp1p6KEvX6SPQdmRZLwRM4ceMGdNrfbJeOcqfPwJpk2WetvDZZ5/5pSCIWKEzEOh4suwMNXVnL9Imy+5EUb1OCwGRZVpISk7qCIgsU4dUAptAQGTZBHgqmi0CIsts8ZX0+hAQWdaHl3LniIDIMkewVVVVBESWVSFShlYhILJsFfKqNw4BkWUcKoorBAIiy0KoQY34AQGRpUyhsAiILAurmq5smMiyK9XeHp0WWbaHnrqllSLLbtF0G/ZTZNmGSuvgJossO1i57d41kWW7a7Cz2i+y7Cx9dlRvRJYdpc6274zIsu1V2LkdEFl2rm7bsWciy3bUWpe0WWTZJYpuk26KLNtEUd3YTJFlN2q9uH0WWRZXN13fMpFl15tAoQAQWRZKHWpMiIDIMkRD161GQGTZag2o/kQERJaJ0CihBQiILFsAuqqsDQGRZW04KVc+CIgs88FZtTSAgMiyAdBUJDMERJaZQSvBzSIgsmwWQZVPE4GGyRJD1iEMZAOygU6xgWrE2jBZVhOsdCHQLAIMQgUhUBQERJZF0YTa0QsBkWUvSBTRQgREli0EX1VXRkBkWRkfpeaLgMgyX7xVWx0IiCzrAEtZM0dAZJk5xKqgUQRElo0ip3JZICCyzAJVyUwFAZFlKjBKSEoIiCxTAlJi0kdAZJk+ppLYOAIiy8axU8mMERBZZgywxNeFgMiyLriUOU8ERJZ5oq26qiEgsqyGkNJbhoDIsmXQq+IYBESWMaAoqhgIiCyLoQe14gQCIktZQmEREFkWVjVd2TCRZVeqvT06LbJsDz11SytFlt2i6Sb7+drrM92lV1ztzvrdn/zBNXFZBpFllugWW3Yr7K0aIiLLagh1efrWbdvd9UOHu5+ffpY/jCztnjTyZBFEllmgWmyZrbS3asiILKsh1OXpUaI8cPCg44A0Q8LMAiaRZRaoFltmK+2tGjK5kuXmzZvdDTfc4E466ST3k5/8xJ1xxhnutddec99++61v56JFi3w8aXacd9557tlnn3WHDh3qlWfKlCll/fv+++/dI4884sueeeaZbu1a/R5iGUB13jAVMkLkDEHGkSVpWUzJGyFLdI7uzX7CM/alUFwEWm1v1ZDJjSx37NjhLrvsMk+UQ4cO9aT2xz/+0Rv1U0895SA6I8tTTjnF9evXz11wwQXurLPO8nluvfVWd/jw4VIeBsG1117rDhw4UOrjrl273IUXXiiyLCHS3AXrkiFZGmGGXqWlkzft0AxZ/vSnP3V9+/b1NoQdcXzxxRdpN1HyUkSg1fZWrSu5kSVeIARnxEjDtm7d6g0aYty+fXuJCG+66SZPjOTZu3evu/zyy93JJ5/sjd0IFRK1OOvkBx984P7hH/7BH/IsDZXGz1FS/Gr5Ki+MdSUjSTuTN+3QDFlCjrt37+7VpNWrV7tPPvnE29usWbMc9wR7ED/zzDNu8eLF7ujRo6WyXH/00Ufuueee87OVVatWeRk8qHlAk2ZymCUtW7aslI6Q7777zpdjDMyePbvULuQuWbLEHz09PW7OnDlu2rRpDsciDDt37vTlKI/njLwtW7aU1Ut+2kBbSGvH0Gp7q4ZZLmR55MgRN3z48F7kFjUsI8KQLMlz//33e6Il3fIMGDDAnXvuuW7ChAneKyXfgw8+6D3S6667zk/FNA2vpv7K6VHjvePu+50RppGknduFLFmm4SFrMxYjJ2Y94ZQde2XpBxJlVmNpzHp4ENvD2OwRuQTyY7+Wjl2OHz++VB45ffr08cQGmUPqJtPqwCPGkSB8/PHH7rTTTiuVZwnrsccecxA2ddjsCuLm+vTTT3crV670ZdvtT6vtrRpeuZBl1ICSGmWGx7omxoIxLViwwBsXBrZx48YSWUKMkCheJ97ntm3bHOubjz/+uBs1alTJWJPqUnx1BOKmRX9/5gVf0EjSzkWfhmMvPLRtTZsH6vvvv+82bdrkH7iQ0CuvvOLzvPTSS56c8AKZukOuQ4YMcXh469at8wRnZGg2m0SWS5cu9eVvvvlmb6dfffWVt80777zTe7eQJbLwZiHn++67z9cNSe7fv98NHDjQp1OO+mnHb3/7W7dixQpPyr/4xS/c8uXLvceJnNDRqK7hYuVotb1VQ6OQZGlPWDuz/sSLoHBdE+O0aTcGi2Fj1ExDwid7NQCUnoxAdMEdYkwiy6K/4DESwW54sbhmzRrf8X379jlmKWeffbZ7++23vf1MnTrVnXrqqZ5Y8TyxQ86E6IO/GllOnDjRl580aZKXPW/ePHfJJZd4wl2/fr0/h0sGYX32ssraTv021Wb6P3PmzFLbwmvf0Db802p7qwZZLmRp03B7Clqjkqbhv//970uGunDhQv9EtTJmnKNHj/beJOud99xzj58qYfSsfYosDa3mz+GnHJDlo+Oe8G/EzaPkTJ4sQhZrlpCleYW02abC9mAOz+QNyYv89ZIlMkKZdg1BNkKWIc7MtJhxDRs2zNu8zb7CPO123Up7q4ZVLmRJI+wFzwsvvOA9ROLsBQ/TZ6bRRoThkzTagTAP0xbWLHmpwzSKBfioMUfL674+BKIfCUOOff9ySekFD8ZdpI/SzRsLvbWwx1GytLW+KNHwICcwY4HgsC1C1L7MHnl4M/OJplOO8nh+FnhBQ14j6rCtITl/8803fl3e1iUpz0sg1iy//vprd+zYMcd03gj49ttvL3sxZfW107mV9lYNp9zI0oiRKfWIESPcmDFj/BQERaN8jNMMr1ayxDBtTcgWtqPGWg0ApdeGAFMk1pRYhOfgOoupd9iaPDxL6mOJh4ctpPXmm286ps5My7FH1jSZ6eCNvvjii27cuHEOGzbvFO+QNUTuJ0+e7B5++OFe6RAxL2mQi3zqweZZg+Q6iSwZEyNHjvRtY80V+dRjX4/QdiPzKCGHOLbjdSvsrRpOuZElDcGweCFjT0LeAvIpEQRHaIQsbc3JCFZkWU3l7ZOeF1lCStOnTy+9dYYMIak9e/Z4D3Du3LmlNIiNt9VGlpTFe6QMds1SEHksHbT5lIh1SrN7xgBx1TxLytKG2267zRMm5c8///yy70XtxSZfhuCJKmSHQK5kad2A0HiDzXREQQgkIdAIWSbJqiUee8Qumd5GA6TIlJ2ln7g1ccocPHgwWqzsnvRqecoKBDfIxzFg+h4GvqnknzuYjse1O8yr6+YQaAlZNtdkle4WBPImy1pwLdLMhSk4XixLCHwZopAtAiLLbPGV9CYQKCJZ8mUH64dXXXWVf8nSRPeaLjp27Fj/QTvLAHi+CtkiILLMFl9JbwKBIpJlE91R0TZHQGTZ5grs5OaLLDtZu+3XN5Fl++msa1ossuwaVbdFR0WWbaGm7mykyLI79V7UXossi6oZtcuJLGUERUJAZFkkbagtZQiILMvg0E2LERBZtlgBqj4ZAZFlMjZKyR8BkWX+mKvGGhEQWdYIlLLlgoDIMheYVUkjCIgsG0FNZbJCQGSZFbKS2zQCIsumIZSAFBEQWaYIpkSli4DIMl08Ja05BESWzeGn0hkiILLMEFyJrhsBkWXdkKlAXgiILPNCWvXUgoDIshaUlKdhBKasf8ZxNBJElo2g1t1lBi7o6ziyCCLLLFBtocwN21e4R2dc70ZPG+w+WTXbfe9O/FgsZ+6Jf+zNm93GHatiW/n999+5j1bMis1nsl//ZJI7/m3vH8iNE9iM8Yos4xAtRtzW3V+7R2cMcQ9MvarsWLjq7VIDsZEPl7/p1m1bVoqLXvTs2+qeefdeL+OdpS+6I8dO7JrA+fWFT3lb3rRzdbRY7P2oZSPcL2ee5A+u0w65kWXSLne2xSgd44dV2cqWPZ3ZRzkaKqX39PQ49hvnp/f5MVR+ip+f5I8L/Nr0rFmzSlsFsDUqW5SGm0jZFgDhefjw4X5f6TiZRYhbvfkz99fR/5/DYFdt/tRd8vDJbv6y13zTPlz+huv3wP90yzctcu99PtWnbd29oazZEOrkeaPdsEnnujVbvnBvf/q863vf/+M2bFvu9h7scSMmX+Qw7olv3eaQR/53lk5x+w7tKpMT3rSCLNnm1rYvYbsHNhPjF86jwbZ1CHVs1+iafaP4cV2LC89Ft4VoX9O+339ot7eB97+c5jje/fxld+nD/+jPh48ecOPeGOp+c8v/6U4Z8r95woyrf9vuje7yMf/kePhCqDc9/Xs3ZsYN3q5mLHzSzVz0tNu4Y6W3O2RyvXj1u3GiXEiUWRFmLmQJyWGYFiBI2zPH4tjnhL2a2auEzcfYjycMldL5OX22w+XHUI8ePep//p9N7dnfJ/oz/Mhk/xN2lFy5cqVPX7BggR8UbE4VF5B5xx13eEKNSy9K3IyFE93keaNKzeH6nhcv9cZ370v9PbGRCMlBfBhkGCDEAWNOdSs2LfHRlg/vAJJEFkbLPbK/WL/ATXzrdi8vlBNe502WbAJ22WWX+Y3B2CaCrSCGDh3qdxcN25V0XU3X1dKT5HZ6/PptX7nBj//a7T6ww9vIkjXvuV37t7nBj/8qkSyxP+wQOyNgdzyosTHs7tGAVQAAIABJREFUCzvjGruDWB+afq1/cEexNKLkbPYWxkXzN3qfC1nSuGqeJVt7sv+JPe2jZFkpnU2b+vfv7/AoLHz88cd+8yj2LYkGflnati4lDa+DAcXP9MeF5cuXe2+X9rVLYAoEQU778HFvcFGjxRg5KoUDh/e66yac6b7auNBPj+596TI3dcE4b9BL177vp047926uJKJkvBUzJSQ2Mg1n0y52QQz3uuHhXKsnWE3X1dITutLR0ZAdHiG2FgaILmp3YXr0Gu90xOS/um+/O+49SK6fffd+L/vdz15yr344PlrE30OMHAQjS67DeJ/Y5J9cyLIWz9L6kUSWldLZK5qf+WcqboG4QYMGlXm0lgZxv/LKK3brz8SFSwKWyM/1s40A+563Qzh87KC784UL3Jm3/Ac38pUB7sixQw2RJQOAKfn9r1xRWp+EgNdt/dJPuzHcuV+8GgtJaKTNGG8jZBltEPpDt+wvHzfLCPNX03W19FBWN12znHPVuF+46LJOPWRpU3KWiSzsPrDdT8+3793kH8w8vKuF0N6q5a03PReypFGhZxmdgoeNbpQso8RYjSyjxJhElshhe1PWr4oWmOqce/d/8wdTcAsQHQZ209N/cC/Nf6Qhsnz/y+nuqnH/4uI8R9YwmRItWj3HXfPEGW7opD5l+SBL1o04m/GGcdbOaudmyJJtl8ePH++uvvpqd8sttySuX4dtqKbraumhrG66njT7LvfU23eUptPW91rJEhLEhvBMbUpuMrhnqefjFW+58W/e6Po/+jP32scTeuWz/GZvdp/mOTeyxNDYSzlKUtHOFIks8UTwSGrxSqL9aMU9RoeBWmDN55onfuP2Hd7tjZF7C7wxT5qG8zachXee9tGAdwlRrti02HuuO/dtcYtWveMYMGEwcrTFdiPPME+162bIcteuXX7HQwizX79+bsmSE+uwSXVW03W19CS5nR6P9zdo/C8da5bRUAtZYrO3Pd/Pz2KiRIk8WxfHJqfMe+iH5aD+bsuu9dHq/H1HkCU9YR2SN4rR9ciw142SZRbTcLxJ1kJ5EdQOAfJjnRJCw/BemPugJzauwzTeXjNtwjMlYLDHvj3iryFBiJI3j3GBqTdTcAbC6GlX+7fkX2z40D0xa3iv7CFhcl1vaIYsw7pmzpzZ64VimM51NV1XS4/K65Z7ZjS2zhjtcxxZYpu8SccmuR716iD/oOU6GrBLPk1idsODnhdCrGdid0n22TFkCRhMd/Ew8TTjQiNkmfSC59prr/VvQ6P1JL3gef/998uysk45cuTIttlmFONivfKs2/6T++3t/9kTok2jSfvbU7/z8XzSAblhoKxpXj/xLPfS/Ecd6514or+6+d+XpvdM85FJGgFD5xs4jP3lD8a4YZPO8fVAsnGhGeNthCyZfj/77LNlL3h4OF988cX+BWJcG4mrputq6UlyOzmehy7LMHh/cSGOLJmFnD/yfzg8Uj5x49Oi3935X8vszR7ifPNLPgKznCFP/ptfWnrktetK6+jRepv5J4iorOh9btNwq5iXPaxZ8v0axBgNjZClfTrElItFeN5u8/bTPh0ijreY9q2dfTq0evWJj135tpP2hJ8O8QkKa5VLly6NNrHw95Dg8W+PxraT+LineGzmGiIh0TTlhVU2QpboEF3yORhTZz714QHNSzrsIGoL1FdN19XSwzbrOjsEIM9DR/dnV0EVybmTJe0xQozzMC0taaqelL5jxw43ePBg/63mKaec4snSPkrH2+jTp09p3YpB9Prrr/u8fJB+2mmnOb7jJN4CU7chQ4aUCNbidc4PgUbIEh3yDw1nn322/1735JNPLvsHhagt0Jtquq6Wnh8iqqmVCLSELLPsMN/X4b3WEvAy+A6Tj5cViodAI2RpvYA00S2zDgUhkAYCHUeWaYAiGcVAoBmyLEYP1IpOQkBk2Una7LC+iCw7TKFt3h2RZZsrsJObL7LsZO22X99Elu2ns65psciya1TdFh0VWbaFmrqzkSLL7tR7UXstsiyqZtQuJ7KUERQJAZFlkbShtpQhILIsg0M3LUZAZNliBaj6ZARElsnYKCV/BESW+WOuGmtEQGRZI1DKlgsCIstcYFYljSAgsmwENZXJCgGRZVbISm7TCIgsm4ZQAlJEQGSZIpgSlS4CIst08ZS05hAQWTaHn0pniIDIMkNwJbpuBESWdUOmAnkhILLMC2nVUwsCIstaUFKeliAgsmwJ7Ko0AQGRZQIwim49AiLL1utALfgRAZHlj1joqmAIiCwLppAub47IsssNoMjdF1kWWTvd1zaRZffpvG16LLJsG1V1RUNFll2h5vbspMiyPfXWqa0WWXaqZjugXyLLDlBiB3WhYbLEkHUIA9mAbKBTbKAarzdMltUEK10ICAEh0EkIiCw7SZvqixAQApkhILLMDFoJFgJCoJMQEFl2kjbVFyEgBDJDQGSZGbQSLASEQCchILLsJG2qL0JACGSGgMgyM2glWAgIgU5CQGTZSdpUX4SAEMgMAZFlZtBKsBAQAp2EgMiyk7SpvggBIZAZAiLLzKCVYCEgBDoJAZFlJ2lTfRECQiAzBESWmUErwUJACHQSAiLLTtKm+iIEhEBmCIgsM4NWgoWAEOgkBESWnaRN9UUICIHMEBBZZgatBAsBIdBJCIgsO0mb6osQEAKZISCyzAxaCRYCQqCTEBBZdpI21RchIAQyQ0BkmRm0EiwEhEAnISCy7CRtqi9CQAhkhoDIMjNoJVgICIFOQiA3snx1+uvu1/96Tq+D+CzC4cNH3M23jvAH13kE+vKHvhe6tevW96ru4TGPuUsuH+R2797TK62eCMojB3nNhglPPh3b1mblqrwQ6EQEciXLKJFUIpdmwRZZVkYwS+wr16xUIdCeCLSULBct/tR7mpwJ5jWZB2rxpOFJWXzUQwvT8CYhSiPLa64f5jgoGy0XqiyUEeYjnnu8MGRECd/KEX/PfaN6pVsdJof2WT+sf1EcokSGp4p8ylGe9iCPEGJmfTUMSEeW1WfxVp/FWzusrToLASHQG4GWkmVICkZuNqDDNAazxRtxGFmQz8jN0ogzeUZuYVoUhkryjQzJY8RkdRMH4cTVF60jlGNts3abHM6EsO9Jea0NnKN9NKxCudG2h3VE26p7ISAEeiOQK1maJ2NnG+Q0K0pmdm8EQh4jHMpzbURixBF2z9KMkKJkEea166h8q9PaaTKNjMhv8slbiYCieUMiC6+jcgwHZBPCfti1tada+2iD5a3UVl+R/ggBIVCGQK5kaaRjBBASjRGGEamdGdQcRpBGEAz88LqsV86ViNTIoVLeJPnIDEmuGhlVIqBQDnKtv5zDa9JCOYYVcYSwH+E1aWH79uzZ64nRcLSzYR7W4QXrjxAQAhURaAlZ0iIGqxEg91FSsFaHBMB1SBDRNCvDOZoWlqsnX0hyUZmk2QMAmZUIKJRD3pAgw+uoHMOF8oSwH3ZtD4S49hk5+sLBn0ptDbLpUggIgR8QaBlZ2kA3sokO9HAwh0QTJdkwn8kkf1RemBbVfiX5YVpUppEcbbA0609cHTwcwrxGZEaIYZrJMbmW1+qkXQTOltfSjDztnnO0/yFu0bbqXggIgd4ItIwsaYoNZhvcNqBtykg6wciEeIjhkv4DS2tvpEMYVsZkGcnYvck2kvGCf/hTST75jaiiMikO6Vi76nkbbgRn7bA+EB+VY22nHvpDe6wfYVqtb8OpM+wzfVAQAkKgMgK5kWXlZii1UQRCMjfiNCJtVKbKCQEh0BsBkWVvTNoqJvQQ8TzNC26rTqixQqANEBBZtoGS1EQhIARaj4DIsvU6UAuEgBBoAwRElm2gJDVRCAiB1iMgsmy9DtQCISAE2gABkWUbKElNFAJCoPUIiCxbrwO1QAgIgTZAQGTZBkpSE4WAEGg9AiLL1utALRACQqANEBBZtoGS1EQhIARaj4DIsvU6UAuEgBBoAwRElm2gJDVRCAiB1iMgsmy9DtQCISAE2gABkWUbKElNFAJCoPUIiCxbrwO1QAgIgTZAQGTZBkpSE4WAEGg9AiLL1utALRACQqANEBBZtoGS1EQhIARaj4DIsvU6UAuEgBBoAwRElm2gJDVRCAiB1iMgsmy9DtQCISAE2gABkWUbKElNFAJCoPUIiCxbrwO1QAgIgTZAQGTZBkpSE4WAEGg9AiLL1utALRACQqANEBBZtoGS1EQhIARaj4DIsvU6UAuEgBBoAwRElm2gJDVRCAiB1iMgsmy9DtQCISAE2gABkWUbKElNFAJCoPUItA1ZfvLpF+7GEaPd4SNHeqFGHGm/POcif5CXMPX12f6ecxgeeuxpd86Fg9ya9RvDaF0LASFQJwKMJRt34ThjDMbF25i8aNCNbteevb62SmO7zuZkmr0tyNIATiJL0i0NBVw97C5PhMT/deCN7q5Rj5VIlnQUJbLM1K4kvAsQgOSM9MxhIS4cgzgkjEfiOBinnBmbHJRjfLaD41J4sgR8A9YIMWqHPN3IQwiVRhyKIB0FEewpZoTqI/VHCAiBuhFgfDG2LNg4rESiUbIkbyjDZBXxXHiyNNBQTBJZhmmQIk874kyZKAOlELieNWd+yfs0+Z16nrd0n/t42YFO7Z76FUFgy85jbsnKg+6NBXvchBk73J2TvnFXPrDeH31uXOX+sf+ySInGb+NI0caajVVzXhiLBM5MzxmjW7ZubxuvkrZ3BFmaQkwJKCokS3t62TRg7YYTU4O0XP9du3Y1bnEZlxz/6nY36c0dGdeSvvhDhw45DoXeCKzceNgTImQ4espWT4QX3LnWEyFkWO3oLbHxGMiRcceyls3iGG9JZBnWZGM0JFCbAYb5inLdEWQZgmnEicJQAso0ksSjtPs0p+Eiy1AD6Vx3M1nuP/RtrHd4+uAVVYnwl4OXuwEPrHd3TPrGTXhtu3t9wR63eOVBf+B1ZmmrjC3GXJzHSVwYbEziuECs3Bt5hvmKdN0RZGmkCLChosJ4FDlw6AivEBQjsiySGfZuS6eTpXmHU97p8dNlmypX8wpJ/8sdaz0hjpqy1RMiZIi8WkKaZMlYMw+SWRovUzmH44t7e8ETts+I0UhTZBmi0+Q14JpiEIUS7C23eZM2HSCNEJIlirU34KEym2yWL56mAabRnlCGpuEhGvles3bImnE4XbZ1w2qkiHd4w9iNZd4hnmGzIW1bxQlh3HGE3iPXcfG0P0qgjFPy2pv1ZvuYVfm28SyzAiANuWkbYBptMhkiS0Mi/bO9TDHv8G/jNvr1w2pESHqfYavKvMO5n+7zU+X0W1kusci2Wt7S4t2JLFPQSZENUGTZvIJZQzQPkelyrS9T8A45WDuc/E5Pad2w+RY1LqHIttp4r/IpKbJMAeciG6DIsn4Fs/7Hpzd8dlNp2hx9mWLeIeRa1FBkWy0qZtYukaUh0cS5yAYosqyuWNYWWVfEa0x642weIoRY68uU6jXnn6PItpo/GvXVKLKsD6/Y3EU2QJFlucpYZ2RKzfeJSdNp1hP59IapczsTY3nPT9wV2Vbj2lukOJFlCtoosgF2O1lCdryA4eVL0pSaT3H4DAevMY03zimYVGYiimyrmXU6JcEiyxSALLIBdhNZRl/ExL2VZp3RPsnh+8RuC0W21aLrQmSZgoaKbICdTJbhi5ikKTVeI1Nq/pOl06bUjZhukW21kf7kWUZkmQLaRTbATiJLexHDlLqWFzFFfiudgtk1JKLIttpQh3IsJLJMAewiG2C7kuW6Tfvc7IU7q76IYUrdiS9iUjDLWBFFttXYBhcoUmSZgjKKbIDtQpb2IqbSt432IoYpdae/iEnBLGNFFNlWYxtcoEiRZQrKKLIBFpUsITveUvNtY9yLmNOu/sr1v29t6YciUlCTRDiX6a8OdTrAIssUNCyyrA9EvMjomqN922gvYjr9V4fqQyy93EW21fR6mY0kkWUKuBbZAIvmWYZEyXoj3zbGvYgRWaZgmDEiimyrMc0tVJTIMgV1FNkAi0SWkKJ94gNRVgoiy0roNJ5WZFttvFf5lBRZpoBzkQ2wKGQZEiUvauK8yVAVIssQjfSui2yr6fUyG0kiyxRwLbIBFoUsecttv+NYjShRicgyBcOMEVFkW41pbqGiRJYpqKPIBlgEsjSi5F8Na/0vGpFlCoYZI6LIthrT3EJFiSxTUEeRDbDVZMkH43iU9RAlKhFZpmCYMSKKbKsxzS1UlMgyBXUU2QBbSZZ8BmTfUHJdTxBZ1oNW7XmLbKu196I1OQtHluGOcVFI2OiITcdsIyQ2S7IQbpBk8bYREucwkG6bl4XxjV4X2QBbRZZMtxslSvQgsmzUGiuXS9NWbXzZeORsY89aQZ5wo0ErE25OVmnMm5winAtFlgZkCG4IUhKo4W5x7PTIro/EIY/tOW0XSGSxsyOKElmGyKZ7HX5LyS/+NBJElo2gVr1MmmQZ1hZuaWvx5tzYeA7zMDY5wvFq5Yp6LgxZQoQGoIEbBY306JOLPFYuLj9ESRkURTDC1b7hUbTSuedNt/3IbqNESUtElunoIyolK7JkjDEOLRgJPvfSjJJnGUeWjMe4MW1yinQuDFkaKAAeR5bh3uC4+6FnSBlI0aboBj7xXHOgFALXs+bM9xu/8+RLI2CAO3fuLOQx6vkNbuzLG3Jp24ZNO9yfb1vpp999b13puG8Ul56eHsfRaHmVi7fHLMiScRTO3hhTjD0Oc04YvxbP+GV2t2Xr9tIsMI1xmLWMtiHLKBAowdY9IEAjWJ5exJNuZMk1eezJtnbDxtTJ8ujRo66Ix6Mvb3ZPztiWS9uGjNngibLf7atdz57DTdV54MABx1FETNu5TVmQpRGjjdGQPKNkaXk4WznORqA2AwzzFeW6bckShbAeydlIEVDNAzVFhCSJR2n3moana4KNfEtZqQWahldCp/G0tMnSptuMQwtGfhCgHebMWJ7QcSGNexuzlqdo57Yhy6hSANYUgKIgPwDniHqWgA5JDhw6wiuEPCLL9Eyx0W8pK7VAZFkJncbT0iZLxl50Ch62LsmzNGJkLIosQ8TquA5JkGIGKtcoxtYlwzVLy2dPMcpYHCRJQGlWRmTpIUnlTzPfUlZqgMiyEjqNp6VNlrbEldSiOLIMnRvKMV41DU9CsMPi0zbANOHJ8jtLdkds5lvKSv0UWVZCp/G0Ittq473Kp2ThpuH5dDvdWopsgFmRZfgtJXtupx1ElmkjekJekW01mx6nJ1VkmQKWRTbALMiSbyntl86b+ZayEvQiy0roNJ5WZFttvFf5lBRZpoBzkQ0wC7K0H/DldymzCiLLbJAtsq1m0+P0pIosU8CyyAaYNllOeG27X6es5Qd8m4FWZNkMeslli2yrya0uRorIMgU9FNkA0yTL8McxeLmTZRBZZoNukW01mx6nJ1VkmQKWRTbANMnSpt9ZvNCJqkFkGUUknfsi22o6PcxOisgyBWyLbIBpkaV9eM6WtbVsC9EsrCLLZhGML19kW41vcXFiRZYp6KLIBpgGWW7Zeaz09jvr6bepQ2RpSKR7LrKtptvT9KWJLFPAtMgGmAZZXvnAev9Sp9r2tSlAWRIhsixBkepFkW011Y5mIExkmQKoRTbAZsnS/p2RPXTymH6bOkSWhkS65yLbaro9TV+ayDIFTItsgM2QZfjx+dxP96WAVO0iRJa1Y1VPziLbaj39aEVekWUKqBfZAJshy7+N2+in3wMeWJ8CSvWJEFnWh1etuYtsq7X2oVX5RJYpIF9kA2yULPEkbQtbXvDkHUSW2SBeZFvNpsfpSRVZpoBlkQ2wEbJk+m376PDJUCuCyDIb1Itsq9n0OD2pIssUsCyyATZClnx0jleZ5f9+V4NdZFkNocbSi2yrjfUov1IiyxSwLrIB1kuW4W9U8u+NrQoiy2yQL7KtZtPj9KSKLFPAssgGWC9Z2vSbH8xoZRBZZoN+kW01mx6nJ1VkmQKWRTbAesjSflGIf2lsdRBZZqOBIttqNj1OT6rIMgUsi2yAtZJlnr8oVAvkIstaUKo/T5Fttf7e5FuicGQZt8GRQUKabUpmm4+RZjs6Wlq4YRlxdm9y2MQsLG/xjZ6LbIC1kqX9S2MevyhUC84iy1pQqj9P2rbKWLJxF44p24SMNNs0kNZaPDuwMm4JlcZ8/T3MrkShyNKAtC1uw25Hd2QkrwGOMrgn2A6QKIA49hYPt+o0Yg0VG9bTyHXaBthIG5LK1EKWef+iUFJbw3iRZYhGetdp2irbUzNWGWthYAwy7jjbeCMP19Ftb6NbXIdyinZdGLI0coPg4sgyClx0O01LDxWILIgSMkVRBOpBvvYNP4FY+ItCef9Lo+ks7iyyjEOl+bg0yZIxFTeOwvjodZQsGY+h59l8D7OTUBiytC7WSpbkiwM5JFHLQz6UQuB61pz5sUq2NtR7xgB37txZyGPU8xvc2Jc3JLbtsntX+28qB49ek5inFX3r6elxHK2ou5PrTJMsGVM2BY9OtyFJZn42+7MxxZgkL/Fbtm73zgxjth1CW5KleYd4kWEIn2LEG1na04t0nmxrN2xMnSyPHj3qing8+vJm9+SMbbFte+eTXSf+pfHq5a5nz+HYPK3q04EDBxxHq+rv1HrTJMtw7NmMjjHHeDOSNNIkLhrIa4cRKPmLGtqOLI0Ao4CGHqWlWV4jSTxKPEvu46YPVq7ec1YGWG874vInrVmGvyjUqn9pjGuvxWkabkike87SVhlbHDburOUWb/ecbUziuESn5mG+Il23FVnaUygKIEQZvsSx9FBpKGzg0BFekSJL59jvm39pbMUvCpl+Kp1FlpXQaTwtTbK0GRutYUzhTRIXepahxxm22saykSZniwvzFem68GRpAEKIvMEO10j8use2Hf7JFMZzjcJCsuTe3oB3O1navzTyg76t+EWhWgaAyLIWlOrPkyZZUjtOiI09ri0w9uLiSY/OAi2vTd1NRtHOhSPLogFUS3vSNsBa6qw1T3QaHv6iUKv/pbFSH0SWldBpPK3Ittp4r/IpKbJMAeciG2CULIvwi0K1QC6yrAWl+vMU2Vbr702+JUSWKeBdZAMMyTL8l8ZW/qJQLZCLLGtBqf48RbbV+nuTbwmRZQp4F9kAQ7K0f2ks8vTb1CGyNCTSPRfZVtPtafrSRJYpYFpkAzSyDLeJYN2y6EFkmY2Gimyr2fQ4PakiyxSwLKoB4kGec+Mq94ebV7tfXbvCfypUxG8q41QgsoxDpfm4otpq8z3LXoLIMgWMi2aA6zYfcf804CtPjnxLacf/unyZ23vguxR6nL0IkWU2GBfNVrPpZTZSRZYp4Fo0A+T7SSPI6Pk3161MocfZixBZZoNx0Ww1m15mI1VkmQKuRTPAKEFG71PocuYiRJbZQFw0W82ml9lIFVmmgGuRDHD7nmOJXqWRZgpdzlyEyDIbiItkq9n0MDupIssUsC2aARopJp1T6HLmIkSW2UBcNFvNppfZSBVZpoBr0Qzwn6/s/XLHiPPnVy1PocfZixBZZoNx0Ww1m15mI1VkmQKuRTPAR17amjgV//ubO1LocfYiRJbZYFw0W82ml9lIFVmmgGvRDNA+QOdTIT4hwtM879Y17tNVB1PobT4iRJbZ4Fw0W82ml9lIFVmmgGvRDLDPjau8Z/n6gj3O/oMnhW7mKkJkmQ3cRbPVbHqZjVSRZQq4FskAw50a6ZrIMgUFd5CIItlqu8EqskxBY0UxwHCrCH7glyCyTEHBHSSiKLbajpCKLFPQWlEMkP8F5613uFWEyDIFBXeQiKLYajtCKrJMQWtFMEC2h7DPg8LfqhRZpqDgDhJRBFttVzhFlilorggGaBuQcQ6DyDJEQ9dFsNV21UKhyTLcpCzczMh2kmNDJNuEDAXYTnLEh/nD3ebCfGzBGd17vBFFttoAK21AJrJsRKOdWyYrW2XTMRtP4ThkLMZtZBYdn1a2yMgXliwNcJRAAHADPbwOlcR1mMfKhmQZlZuGcrIywFrbVukX0EWWtaLYHfmysFVzaozwwnFojg1xXJOHM/ccjEe2sUZG0UNhyRLgID4AjV4TZ6Ro11EShCBNeUaWW7Zu93EmMy3lZGGAtbbNPkDnZ9nifgFdZFkrkt2RL21bNbJ77qUZpfEWRdLGcRxZMjZtLEfLFe2+0GQJWACJKw+oYYDwiDfiM7K0fEaQKIhrput/HXhjokJD2fVeY4A7d+5syXH23374BfS3NsXWP+r5DW7syxti01rV5lrq7enpcRy15FWe2m0vbbJk/HEwxsw5CccP4+/qYXeVPEcbt0zDcV7axaukT4UlS0AGUCM/SJPDSNFIkjNK2r33hItv+TnbugjXRqwmJ1Ros9cY4NGjR3M/np114lOh3w1dmVj3oy9vdk/O2JaY3op211LngQMHHEcteZWndttLkyyZOkN2jEnGWJQsbazamIyOM8auHYxPG6/RfEW5LyxZogieSJAmwchv3debyp5U5MNj/GrlWq8sI9FQeVYWWVESTkMRaRpgre2J+wA9rqym4XGodG9cmrbKWIPkwsMIk3EWepRRxEkn79oNG/2ZeyPOaN6i3BeWLKOkBpChBxmSoj2RiMNzJHCOy0Ma5Bm+RW9WGWkaYK1tifsAPa6syDIOle6Ny8pWQ+fEiJBzUmBscoR5LS6pTKvjC0uWAIPXCKlFXXQjUuJD0jO3n3h7wiEn9CwNcBRjJGtxjZ6zMsCk9iR9gB6XX2QZh0r3xmVlqyFZ4qiE3ibXjDcL0VkjaeRJazxaPWmfC02WaXc2K3lZGWBSe5M+QI/LL7KMQ6V74/K21U5CWmSZgjbzNMBKH6DHdUVkGYdK98blaaudhrLIMgWN5mmAlT5Aj+uKyDIOle6Ny9NWOw1lkWUKGs3LAPkxX34sI+kD9LiuiCzjUOneuLxstRMRFlmmoNW8DDD8BfRamy2yrBWp7siXl612IpoiyxS0mocB2qdCfYatqqvFIst9AcLAAAAN20lEQVS64Or4zHnYaqeCKLJMQbNZG2CtH6DHdUVkGYdK98ZlbaudjKzIMgXtZm2A5lWGv4Bea7NFlrUi1R35srbVTkZRZJmCdrM0wHo+QI/risgyDpXujcvSVjsdVZFlChrO0gDr+QA9risiyzhUujcuS1vtdFRFliloOCsDZC8d21cHD7ORILJsBLXOLZOVrXYuYj/2TGT5IxYNX2VlgPV+gB7XAZFlHCrdG5eVrXYDoiLLFLSchQGG/9YY9wvotTZbZFkrUt2RLwtb7Q7kCvzjv+2kgCwM8II71/opOG/Cmwkiy2bQ67yyWdhq56EU3yN5lvG41BWbtgHavzXW+wF6XKNFlnGodG9c2rbaTUiKLFPQdpoGyJS7kX9rTOqGyDIJme6MT9NWuw1BkWUKGk/TAO0D9L/csTaFljknskwFxo4RkqatdgwoNXZEZFkjUJWypWWAzfxbY1L7RJZJyHRnfFq22o3oiSxT0HpaBjhqylb/UqeRf2tM6obIMgmZ7oxPy1a7ET2RZQpaT8MAm/23xqRuiCyTkOnO+DRstTuRK/inQ2yCFG58FG56hMJs4zLyEcINy8LNj6Ibllm+cFOzZgwgDQNs9t8ak9ovskxCpjvj07BVQ87GkY1R21mV9HCzwXCcxW1OFm52ZrKLeC60ZwmwoQKiANouckaWYX7SjFxDsjQFW1pUZiP3zRpg+AF6o//WmNRukWUSMt0Z36ythqiF480cF+K4DvcMZywyBomHODmTj4PxeNeoxzy5hrKLeF1osgwJLwoe4AMy4HMdJUHi7InGNZ7mlq3bfRxKSjM0a4Bp/FtjUn9ElknIdGd8s7ZaCTUbr4w3rqMhjiyT8kbLFuG+sGQJsBCcufjhtNpAN/IDcCNLrgmcrQzX7C/+14E3lgg0TfAxwJ07dzZ0vLtws3+pc9qgr9yGTTsaklGp7lHPb3BjX96QutxKdaaR1tPT4zjSkCUZP9pmVmTJmDRvkvGGo2Lj15wWxhyOiu0RzvhtF6+StheWLKNkBsgGurn1IUGG15SNkiUKQgZl45560frquccAjx492tDRZ9hKT5bPztreUPlq9T768mb35IxtmciuVncz6QcOHHAczchQ2d42mQVZRsce48wcFUsjLhqIs8MIFNItamgbsjTyW/f1ptITy7xOzh8sXFI2xbanG8qysiiCA0USl1Zo1ADT/LfGpL5oGp6ETHfGN2qrSWiFHqXlCccecXEOCuVwftZu2OjP3BtxmpyinQtLlgYm5yTA7allxAfY5jVy5p4QkqXdMy3njV0aoREDTPvfGpP6IbJMQqY74xux1SSkomPU8hFvU3IbozYWLY8RYyjD4ixP0c6FJUuAguTMezS3PgTQFGFkafeUsSm7yYmWRzHRuFB2PdeNGKD9W2OaH6DHtVlkGYdK98Y1YqtJaOGQ2Pi0s5FiOHbNgTE5OCmQqTlClKF8WuPR6kn7XGiyTLuzWcmr1wCz+LfGpL6JLJOQ6c74em21O1GK77XIMh6XumLrNcAs/q0xqcEiyyRkujO+XlvtTpTiey2yjMelrth6DDD8t8a0P0CPa7TIMg6V7o2rx1a7F6X4noss43GpK7YeA/zbuI3+UyH+vTGPILLMA+X2qaMeW22fXuXTUpFlCjjXaoBZ/ltjUjdElknIdGd8rbbanehU7rXIsjI+NaXWaoBZ/ltjUkNFlknIdGd8rbbanehU7rXIsjI+NaXWYoBzP93np9+/HLzc8TY8ryCyzAvp9qinFlttj57k30qRZQqY12KAtq/O5Hd6UqixdhEiy9qx6oactdhqN+DQSB9Flo2gFilTzQDz+LfGSJNKtyLLEhS64Ddgd+0SDg0iILJsELiwWCUDDD9AZyqedxBZ5o14seurZKvFbnnrWyeyTEEHlQwwr39rTOqGyDIJme6Mr2Sr3YlI7b0WWdaOVWLOJAPko/PTB6/wL3b4bKgVQWTZCtSLW2eSrRa3xcVpmcgyBV0kGWBW++rU02SRZT1odX7eJFvt/J4330ORZfMYxi6a2wfo/9h/mcvj3xqTuiGyTEKmO+NFlo3rXWTZOHalknEG2IoP0EsNCi5ElgEYuox9sAuW2hAQWdaGU8VcUbK0T4Xy/gA9rpEiyzhUujcuaqvdi0T9PRdZ1o9ZrxJRA7QP0CHNVgeRZas1UKz6o7ZarNYVuzUiyxT0ExqgfSr0lzvWpiC5eREiy+Yx7CQJoa12Ur/y6IvIMgWUzQDDD9Bb9alQtDsiyygi3X1vttrdKDTWe5FlY7iVlTIDtE+FbhibzkZoZZU0eCOybBC4Di1mttqh3cu0W4UmS9vIKLqZUbgxWbjJUVJ8dHdHyxduatYMyhjgyo2H/cfnrf5UKNoPkWUUke6+z4IsbTzZxoEgHG5YZpuYEW9jOhy35E1rLGap3cKSZXQHOHaIM0AB3HaM42zKSIoPydIUa2XSABcDtE+F2F+nSEFkWSRttL4taZMlOzRCfDg0RpbhVrjhOI7b9pbxeNeox1LbljpLhAtLltFO29Nn994Tm7Mb2VWLRxlGllu2bveEa2WjdTR6jwHiURbhU6FoH0SWUUS6+z5NsmRs4ays3bDRE6aRpY03yNGcE+LiyJJ4c3yKrpm2IUvzIEPwAdcUs2XbDk+E3IfxKIi4cy4c5P468MaSd5qmYg4dOuTJcuL0r93OnTsLdYx6foMb+/KGQrWpFox6enocRy15lad2mwPTtANjDO8yHHs2C7Txag4KZ1tWw3lpF68SzNqCLAHYnj4GfqgYFFWNLFGQyTFZaRpNv9tXu6NHjxbumLNol5u/dHfh2lVErLqlTWnaPbLqIcuwbsajHUagyCpqKDxZmkdpABpZAjIB0uQpljQ9Jz95bEE5qliTq7MQEAKNIRAdU+F4s/Fqzo3VQBnGLVN4ztwbcVqeop0LTZYQZRRkAARU8w5DMk2KD5VHee6ZlrP4rCAEhEBzCETJkvurh93lx1f4giesxYjRSFNkGaJT5zWEhmseHtF1ENIsDvH2FIvGR8mSvCjLvM06m6bsQkAIBAhEyZKkcPxyHYYogTIWGbNFH4+F9ixDgHUtBISAEGglAiLLVqKvuoWAEGgbBESWbaMqNVQICIFWIiCybCX6qlsICIG2QUBk2TaqUkOFgBBoJQIiy1air7qFgBBoGwRElm2jKjVUCAiBViIgsmwl+qpbCAiBtkFAZNk2qlJDhYAQaCUCIstWoq+6hYAQaBsERJZtoyo1VAgIgVYiILJsJfqqWwgIgbZBQGTZNqpSQ4WAEGglAiLLVqKvuoWAEGgbBESWbaMqNVQICIFWIiCybCX6qlsICIG2QUBk2TaqUkOFgBBoJQIiyxj07Zef436lnV95ZkuK6C87h/Gkhdte2DVVWT5+HbrTQ/jL9YZl+GvY4GLxIR7hr2yH2IXxlh882bWTswXKhPVYfCed7dfFDT/O4S+SY8O2tUNcv80OKWe7DRi+IeaUtbpC+XEyOz1OZFlFwxiKDUwb/HaPUZlhYUhmdKHIME/cwA7zdvI1+BhW9JN7I7QQF64Z5Ax28LatUsPBH+YJyyI3xLuT8bS+gQt2x9kCmPBAT9pnKsSSMmCGPjh48Bj+pJnNR8nY6uqms8gyRtsYEwM5fGobEWJYIVnaNeeQDEysDd7ooLb0Tj6HA82wDAnSBmVIfuBomIbYhORqcokLcTWsw3Kdeg1GhqmdwQPbBYcvV6zu5XEbFuSLs1XisXPSwJXAmTh0RXo3B5FlFe1jONHBSxwGasZjg9eMNnyik5enNXFROVWq7qhk+g4WYWAggos9iEgjH94k8eBpZWwgg7XhTV4jSzA2Ig7r6PRr+m8PnbCvhgvnaDAszSEw/C3+uZdmlGwVjLknj9l7VF633IssYzQdepZmSGSzeDMaBrIN5lAM6TZwSWfgW5yVDfN36rWRGqRneFhfGYSGbTiwwcviQ7zBzeJNrpEl+FIulGn1dOqZvtrDOc6mQkyjGFDW9BFiaRjjlfLAAn/O3IN9XD1R2Z18L7JM0G5oUJYFAwyf4hiPGZ3l4RwaKoOYg5CUPyzbadf0GTIDkzAYuREXDlhwN7zC+BA7iycuxNrikdHpwR4kSX0NcYliAW724CHNbNTijSRnzZlfIk2RpXMiy6glBffhACXaDJR4AoaKEe3ee+IJbIRg8QxeM0QTy31oqBbfyee4gRtiFOJKXnsghfFcE096mCcqm3vz5DsZU/pW6eEQxSXEIsQylGFkSRz6GTh0hLdfy2N2H8rqpmuRZRVtYyBMdzAegg3G6NQyjA89qShZmuER303B8An7zbVNJQ1fMOE6Lt50QZoN3DhSIC3UQSfjbPYUneFEcYEgeUhzJoRYmk6Iswe56Ys4q4Prbg4iy27WvvouBIRAzQiILGuGShmFgBDoZgRElt2sffVdCAiBmhEQWdYMlTIKASHQzQiILLtZ++q7EBACNSMgsqwZKmUUAkKgmxEQWXaz9tV3ISAEakZAZFkzVMooBIRANyMgsuxm7avvQkAI1IyAyLJmqJRRCAiBbkZAZNnN2lffhYAQqBkBkWXNUCmjEBAC3YyAyLKbta++CwEhUDMCIsuaoVJGISAEuhkBkWU3a199FwJCoGYERJY1Q6WMQkAIdDMCIstu1r76LgSEQM0IiCxrhkoZhYAQ6GYERJbdrH31XQgIgZoREFnWDJUyCgEh0M0IiCy7Wfvqe1cisGLFCjd79mzHWaF2BCDL/x/vuvF+l7I57AAAAABJRU5ErkJggg==">
          <a:extLst>
            <a:ext uri="{FF2B5EF4-FFF2-40B4-BE49-F238E27FC236}">
              <a16:creationId xmlns="" xmlns:a16="http://schemas.microsoft.com/office/drawing/2014/main" id="{00000000-0008-0000-01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3914775" y="5543550"/>
          <a:ext cx="304800" cy="415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0160\Downloads\Digital\2022\January\Ostocalcium%200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form wise Summary"/>
      <sheetName val="Summary"/>
      <sheetName val="Plan"/>
      <sheetName val="Sheet1"/>
      <sheetName val="Fees"/>
      <sheetName val="FB - Creative Report"/>
      <sheetName val="FB-Detailed Report Report Base "/>
      <sheetName val="Hostar Affinity &amp; RT"/>
      <sheetName val="Hotstar CTV"/>
      <sheetName val="Verification"/>
      <sheetName val="YT Performance"/>
      <sheetName val="YT-City wise Report"/>
      <sheetName val="YT Age wise"/>
      <sheetName val="Display Performance"/>
      <sheetName val="1mg sessions"/>
      <sheetName val="FB - Creative Report 3RD"/>
      <sheetName val="Approach comparison"/>
      <sheetName val="Targeting Audience"/>
      <sheetName val="Supor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0"/>
  <sheetViews>
    <sheetView tabSelected="1" topLeftCell="A106" workbookViewId="0">
      <selection activeCell="C64" sqref="C64"/>
    </sheetView>
  </sheetViews>
  <sheetFormatPr defaultRowHeight="15" x14ac:dyDescent="0.25"/>
  <cols>
    <col min="15" max="15" width="11.42578125" customWidth="1"/>
    <col min="50" max="50" width="11.28515625" customWidth="1"/>
    <col min="51" max="51" width="13" customWidth="1"/>
    <col min="52" max="52" width="11.140625" customWidth="1"/>
  </cols>
  <sheetData>
    <row r="1" spans="1:52" ht="4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" t="s">
        <v>10</v>
      </c>
      <c r="M1" s="1" t="s">
        <v>11</v>
      </c>
      <c r="N1" s="3" t="s">
        <v>12</v>
      </c>
      <c r="O1" s="3" t="s">
        <v>13</v>
      </c>
      <c r="P1" s="2" t="s">
        <v>14</v>
      </c>
      <c r="Q1" s="3" t="s">
        <v>15</v>
      </c>
      <c r="R1" s="3" t="s">
        <v>16</v>
      </c>
      <c r="S1" s="2" t="s">
        <v>17</v>
      </c>
      <c r="T1" s="3" t="s">
        <v>18</v>
      </c>
      <c r="U1" s="3" t="s">
        <v>19</v>
      </c>
      <c r="V1" s="2" t="s">
        <v>20</v>
      </c>
      <c r="W1" s="3" t="s">
        <v>21</v>
      </c>
      <c r="X1" s="3" t="s">
        <v>22</v>
      </c>
      <c r="Y1" s="2" t="s">
        <v>23</v>
      </c>
      <c r="Z1" s="4" t="s">
        <v>24</v>
      </c>
      <c r="AA1" s="5" t="s">
        <v>25</v>
      </c>
      <c r="AB1" s="2" t="s">
        <v>26</v>
      </c>
      <c r="AC1" s="4" t="s">
        <v>27</v>
      </c>
      <c r="AD1" s="5" t="s">
        <v>28</v>
      </c>
      <c r="AE1" s="6" t="s">
        <v>29</v>
      </c>
      <c r="AF1" s="5" t="s">
        <v>30</v>
      </c>
      <c r="AG1" s="5" t="s">
        <v>31</v>
      </c>
      <c r="AH1" s="6" t="s">
        <v>32</v>
      </c>
      <c r="AI1" s="5" t="s">
        <v>33</v>
      </c>
      <c r="AJ1" s="5" t="s">
        <v>34</v>
      </c>
      <c r="AK1" s="6" t="s">
        <v>35</v>
      </c>
      <c r="AL1" s="7" t="s">
        <v>36</v>
      </c>
      <c r="AM1" s="3" t="s">
        <v>37</v>
      </c>
      <c r="AN1" s="3" t="s">
        <v>38</v>
      </c>
      <c r="AO1" s="8" t="s">
        <v>39</v>
      </c>
      <c r="AP1" s="5" t="s">
        <v>40</v>
      </c>
      <c r="AQ1" s="5" t="s">
        <v>41</v>
      </c>
      <c r="AR1" s="7" t="s">
        <v>42</v>
      </c>
      <c r="AS1" s="4" t="s">
        <v>43</v>
      </c>
      <c r="AT1" s="4" t="s">
        <v>44</v>
      </c>
      <c r="AU1" s="9" t="s">
        <v>45</v>
      </c>
      <c r="AV1" s="5" t="s">
        <v>46</v>
      </c>
      <c r="AW1" s="5" t="s">
        <v>47</v>
      </c>
      <c r="AX1" s="7" t="s">
        <v>48</v>
      </c>
      <c r="AY1" s="5" t="s">
        <v>49</v>
      </c>
      <c r="AZ1" s="5" t="s">
        <v>50</v>
      </c>
    </row>
    <row r="2" spans="1:52" ht="108" x14ac:dyDescent="0.25">
      <c r="B2" s="10" t="s">
        <v>51</v>
      </c>
      <c r="C2" s="10" t="s">
        <v>52</v>
      </c>
      <c r="D2" s="10">
        <v>44562</v>
      </c>
      <c r="E2" s="10">
        <v>44592</v>
      </c>
      <c r="F2" s="11" t="s">
        <v>53</v>
      </c>
      <c r="G2" s="11" t="s">
        <v>54</v>
      </c>
      <c r="H2" s="11" t="s">
        <v>55</v>
      </c>
      <c r="I2" s="11" t="s">
        <v>56</v>
      </c>
      <c r="J2" s="12" t="s">
        <v>57</v>
      </c>
      <c r="K2" s="11" t="s">
        <v>58</v>
      </c>
      <c r="L2" s="11" t="s">
        <v>59</v>
      </c>
      <c r="M2" s="11" t="s">
        <v>59</v>
      </c>
      <c r="N2" s="11" t="s">
        <v>59</v>
      </c>
      <c r="O2" s="11" t="s">
        <v>59</v>
      </c>
      <c r="P2" s="13">
        <v>20000</v>
      </c>
      <c r="Q2" s="13">
        <v>21095</v>
      </c>
      <c r="R2" s="14">
        <f>Q2/P2</f>
        <v>1.0547500000000001</v>
      </c>
      <c r="S2" s="15">
        <v>5</v>
      </c>
      <c r="T2" s="16">
        <f>W2/Q2</f>
        <v>4.800948091964921</v>
      </c>
      <c r="U2" s="14">
        <f>T2/S2</f>
        <v>0.96018961839298422</v>
      </c>
      <c r="V2" s="13">
        <f>P2*S2</f>
        <v>100000</v>
      </c>
      <c r="W2" s="13">
        <v>101276</v>
      </c>
      <c r="X2" s="14">
        <f>W2/V2</f>
        <v>1.0127600000000001</v>
      </c>
      <c r="Y2" s="14" t="s">
        <v>59</v>
      </c>
      <c r="Z2" s="14" t="s">
        <v>59</v>
      </c>
      <c r="AA2" s="14" t="s">
        <v>59</v>
      </c>
      <c r="AB2" s="14" t="s">
        <v>59</v>
      </c>
      <c r="AC2" s="14" t="s">
        <v>59</v>
      </c>
      <c r="AD2" s="14" t="s">
        <v>59</v>
      </c>
      <c r="AE2" s="14" t="s">
        <v>59</v>
      </c>
      <c r="AF2" s="14" t="s">
        <v>59</v>
      </c>
      <c r="AG2" s="14" t="s">
        <v>59</v>
      </c>
      <c r="AH2" s="14" t="s">
        <v>59</v>
      </c>
      <c r="AI2" s="14" t="s">
        <v>59</v>
      </c>
      <c r="AJ2" s="14" t="s">
        <v>59</v>
      </c>
      <c r="AK2" s="14" t="s">
        <v>60</v>
      </c>
      <c r="AL2" s="13">
        <v>1520</v>
      </c>
      <c r="AM2" s="13">
        <f>AP2/W2*1000</f>
        <v>1500.8440301749674</v>
      </c>
      <c r="AN2" s="14">
        <f>AM2/AL2</f>
        <v>0.98739738827300494</v>
      </c>
      <c r="AO2" s="13">
        <f>AL2*V2/1000</f>
        <v>152000</v>
      </c>
      <c r="AP2" s="17">
        <v>151999.48000000001</v>
      </c>
      <c r="AQ2" s="18">
        <f>AP2/AO2</f>
        <v>0.99999657894736849</v>
      </c>
      <c r="AR2" s="19" t="s">
        <v>59</v>
      </c>
      <c r="AS2" s="19" t="s">
        <v>59</v>
      </c>
      <c r="AT2" s="19" t="s">
        <v>59</v>
      </c>
      <c r="AU2" s="19" t="s">
        <v>59</v>
      </c>
      <c r="AV2" s="19" t="s">
        <v>59</v>
      </c>
      <c r="AW2" s="19" t="s">
        <v>59</v>
      </c>
      <c r="AX2" s="20">
        <f>AO2</f>
        <v>152000</v>
      </c>
      <c r="AY2" s="20">
        <f>AP2</f>
        <v>151999.48000000001</v>
      </c>
      <c r="AZ2" s="21">
        <f>AY2/AX2</f>
        <v>0.99999657894736849</v>
      </c>
    </row>
    <row r="3" spans="1:52" ht="108" x14ac:dyDescent="0.25">
      <c r="B3" s="10" t="s">
        <v>51</v>
      </c>
      <c r="C3" s="10" t="s">
        <v>52</v>
      </c>
      <c r="D3" s="10">
        <v>44562</v>
      </c>
      <c r="E3" s="10">
        <v>44592</v>
      </c>
      <c r="F3" s="11" t="s">
        <v>53</v>
      </c>
      <c r="G3" s="11" t="s">
        <v>61</v>
      </c>
      <c r="H3" s="11" t="s">
        <v>55</v>
      </c>
      <c r="I3" s="11" t="s">
        <v>56</v>
      </c>
      <c r="J3" s="12" t="s">
        <v>57</v>
      </c>
      <c r="K3" s="11" t="s">
        <v>58</v>
      </c>
      <c r="L3" s="11" t="s">
        <v>59</v>
      </c>
      <c r="M3" s="11" t="s">
        <v>59</v>
      </c>
      <c r="N3" s="11" t="s">
        <v>59</v>
      </c>
      <c r="O3" s="11" t="s">
        <v>59</v>
      </c>
      <c r="P3" s="13">
        <v>30000</v>
      </c>
      <c r="Q3" s="13">
        <v>31295</v>
      </c>
      <c r="R3" s="14">
        <f t="shared" ref="R3:R5" si="0">Q3/P3</f>
        <v>1.0431666666666666</v>
      </c>
      <c r="S3" s="15">
        <v>5</v>
      </c>
      <c r="T3" s="16">
        <f t="shared" ref="T3:T5" si="1">W3/Q3</f>
        <v>5.2568780955424188</v>
      </c>
      <c r="U3" s="14">
        <f t="shared" ref="U3:U5" si="2">T3/S3</f>
        <v>1.0513756191084838</v>
      </c>
      <c r="V3" s="13">
        <f t="shared" ref="V3:V5" si="3">P3*S3</f>
        <v>150000</v>
      </c>
      <c r="W3" s="13">
        <v>164514</v>
      </c>
      <c r="X3" s="14">
        <f t="shared" ref="X3:X5" si="4">W3/V3</f>
        <v>1.09676</v>
      </c>
      <c r="Y3" s="14" t="s">
        <v>59</v>
      </c>
      <c r="Z3" s="14" t="s">
        <v>59</v>
      </c>
      <c r="AA3" s="14" t="s">
        <v>59</v>
      </c>
      <c r="AB3" s="14" t="s">
        <v>59</v>
      </c>
      <c r="AC3" s="14" t="s">
        <v>59</v>
      </c>
      <c r="AD3" s="14" t="s">
        <v>59</v>
      </c>
      <c r="AE3" s="14" t="s">
        <v>59</v>
      </c>
      <c r="AF3" s="14" t="s">
        <v>59</v>
      </c>
      <c r="AG3" s="14" t="s">
        <v>59</v>
      </c>
      <c r="AH3" s="14" t="s">
        <v>59</v>
      </c>
      <c r="AI3" s="14" t="s">
        <v>59</v>
      </c>
      <c r="AJ3" s="14" t="s">
        <v>59</v>
      </c>
      <c r="AK3" s="14" t="s">
        <v>60</v>
      </c>
      <c r="AL3" s="13">
        <v>1425</v>
      </c>
      <c r="AM3" s="13">
        <f>AP3/W3*1000</f>
        <v>1299.2769612312629</v>
      </c>
      <c r="AN3" s="14">
        <f t="shared" ref="AN3:AN5" si="5">AM3/AL3</f>
        <v>0.91177330612720209</v>
      </c>
      <c r="AO3" s="13">
        <f>AL3*V3/1000</f>
        <v>213750</v>
      </c>
      <c r="AP3" s="17">
        <v>213749.25</v>
      </c>
      <c r="AQ3" s="18">
        <f>AP3/AO3</f>
        <v>0.99999649122807022</v>
      </c>
      <c r="AR3" s="19" t="s">
        <v>59</v>
      </c>
      <c r="AS3" s="19" t="s">
        <v>59</v>
      </c>
      <c r="AT3" s="19" t="s">
        <v>59</v>
      </c>
      <c r="AU3" s="19" t="s">
        <v>59</v>
      </c>
      <c r="AV3" s="19" t="s">
        <v>59</v>
      </c>
      <c r="AW3" s="19" t="s">
        <v>59</v>
      </c>
      <c r="AX3" s="20">
        <f>AO3</f>
        <v>213750</v>
      </c>
      <c r="AY3" s="20">
        <f t="shared" ref="AY3:AY5" si="6">AP3</f>
        <v>213749.25</v>
      </c>
      <c r="AZ3" s="21">
        <f t="shared" ref="AZ3:AZ5" si="7">AY3/AX3</f>
        <v>0.99999649122807022</v>
      </c>
    </row>
    <row r="4" spans="1:52" ht="156" x14ac:dyDescent="0.25">
      <c r="A4" t="s">
        <v>104</v>
      </c>
      <c r="B4" s="10" t="s">
        <v>51</v>
      </c>
      <c r="C4" s="10" t="s">
        <v>52</v>
      </c>
      <c r="D4" s="10">
        <v>44562</v>
      </c>
      <c r="E4" s="10">
        <v>44592</v>
      </c>
      <c r="F4" s="11" t="s">
        <v>53</v>
      </c>
      <c r="G4" s="11" t="s">
        <v>54</v>
      </c>
      <c r="H4" s="11" t="s">
        <v>55</v>
      </c>
      <c r="I4" s="11" t="s">
        <v>62</v>
      </c>
      <c r="J4" s="12" t="s">
        <v>57</v>
      </c>
      <c r="K4" s="11" t="s">
        <v>63</v>
      </c>
      <c r="L4" s="11" t="s">
        <v>59</v>
      </c>
      <c r="M4" s="11" t="s">
        <v>59</v>
      </c>
      <c r="N4" s="11" t="s">
        <v>59</v>
      </c>
      <c r="O4" s="11" t="s">
        <v>59</v>
      </c>
      <c r="P4" s="13">
        <v>25000</v>
      </c>
      <c r="Q4" s="13">
        <v>27877</v>
      </c>
      <c r="R4" s="14">
        <f t="shared" si="0"/>
        <v>1.1150800000000001</v>
      </c>
      <c r="S4" s="15">
        <v>5</v>
      </c>
      <c r="T4" s="16">
        <f t="shared" si="1"/>
        <v>4.6776912867238227</v>
      </c>
      <c r="U4" s="14">
        <f t="shared" si="2"/>
        <v>0.93553825734476459</v>
      </c>
      <c r="V4" s="13">
        <f t="shared" si="3"/>
        <v>125000</v>
      </c>
      <c r="W4" s="13">
        <v>130400</v>
      </c>
      <c r="X4" s="14">
        <f t="shared" si="4"/>
        <v>1.0431999999999999</v>
      </c>
      <c r="Y4" s="14" t="s">
        <v>59</v>
      </c>
      <c r="Z4" s="14" t="s">
        <v>59</v>
      </c>
      <c r="AA4" s="14" t="s">
        <v>59</v>
      </c>
      <c r="AB4" s="14" t="s">
        <v>59</v>
      </c>
      <c r="AC4" s="14" t="s">
        <v>59</v>
      </c>
      <c r="AD4" s="14" t="s">
        <v>59</v>
      </c>
      <c r="AE4" s="14" t="s">
        <v>59</v>
      </c>
      <c r="AF4" s="14" t="s">
        <v>59</v>
      </c>
      <c r="AG4" s="14" t="s">
        <v>59</v>
      </c>
      <c r="AH4" s="14" t="s">
        <v>59</v>
      </c>
      <c r="AI4" s="14" t="s">
        <v>59</v>
      </c>
      <c r="AJ4" s="14" t="s">
        <v>59</v>
      </c>
      <c r="AK4" s="14" t="s">
        <v>60</v>
      </c>
      <c r="AL4" s="13">
        <v>1520</v>
      </c>
      <c r="AM4" s="13">
        <f>AP4/W4*1000</f>
        <v>1457.0490797546015</v>
      </c>
      <c r="AN4" s="14">
        <f t="shared" si="5"/>
        <v>0.95858492089118519</v>
      </c>
      <c r="AO4" s="13">
        <f>AL4*V4/1000</f>
        <v>190000</v>
      </c>
      <c r="AP4" s="17">
        <v>189999.2</v>
      </c>
      <c r="AQ4" s="18">
        <f>AP4/AO4</f>
        <v>0.99999578947368428</v>
      </c>
      <c r="AR4" s="19" t="s">
        <v>59</v>
      </c>
      <c r="AS4" s="19" t="s">
        <v>59</v>
      </c>
      <c r="AT4" s="19" t="s">
        <v>59</v>
      </c>
      <c r="AU4" s="19" t="s">
        <v>59</v>
      </c>
      <c r="AV4" s="19" t="s">
        <v>59</v>
      </c>
      <c r="AW4" s="19" t="s">
        <v>59</v>
      </c>
      <c r="AX4" s="20">
        <f>AO4</f>
        <v>190000</v>
      </c>
      <c r="AY4" s="20">
        <f t="shared" si="6"/>
        <v>189999.2</v>
      </c>
      <c r="AZ4" s="21">
        <f t="shared" si="7"/>
        <v>0.99999578947368428</v>
      </c>
    </row>
    <row r="5" spans="1:52" ht="156" x14ac:dyDescent="0.25">
      <c r="B5" s="10" t="s">
        <v>51</v>
      </c>
      <c r="C5" s="10" t="s">
        <v>52</v>
      </c>
      <c r="D5" s="10">
        <v>44562</v>
      </c>
      <c r="E5" s="10">
        <v>44592</v>
      </c>
      <c r="F5" s="11" t="s">
        <v>53</v>
      </c>
      <c r="G5" s="11" t="s">
        <v>61</v>
      </c>
      <c r="H5" s="11" t="s">
        <v>55</v>
      </c>
      <c r="I5" s="11" t="s">
        <v>62</v>
      </c>
      <c r="J5" s="12" t="s">
        <v>57</v>
      </c>
      <c r="K5" s="11" t="s">
        <v>63</v>
      </c>
      <c r="L5" s="11" t="s">
        <v>59</v>
      </c>
      <c r="M5" s="11" t="s">
        <v>59</v>
      </c>
      <c r="N5" s="11" t="s">
        <v>59</v>
      </c>
      <c r="O5" s="11" t="s">
        <v>59</v>
      </c>
      <c r="P5" s="13">
        <v>35000</v>
      </c>
      <c r="Q5" s="13">
        <v>37731</v>
      </c>
      <c r="R5" s="14">
        <f t="shared" si="0"/>
        <v>1.0780285714285713</v>
      </c>
      <c r="S5" s="15">
        <v>5</v>
      </c>
      <c r="T5" s="16">
        <f t="shared" si="1"/>
        <v>5.0847578913890432</v>
      </c>
      <c r="U5" s="14">
        <f t="shared" si="2"/>
        <v>1.0169515782778087</v>
      </c>
      <c r="V5" s="13">
        <f t="shared" si="3"/>
        <v>175000</v>
      </c>
      <c r="W5" s="13">
        <v>191853</v>
      </c>
      <c r="X5" s="14">
        <f t="shared" si="4"/>
        <v>1.0963028571428572</v>
      </c>
      <c r="Y5" s="14" t="s">
        <v>59</v>
      </c>
      <c r="Z5" s="14" t="s">
        <v>59</v>
      </c>
      <c r="AA5" s="14" t="s">
        <v>59</v>
      </c>
      <c r="AB5" s="14" t="s">
        <v>59</v>
      </c>
      <c r="AC5" s="14" t="s">
        <v>59</v>
      </c>
      <c r="AD5" s="14" t="s">
        <v>59</v>
      </c>
      <c r="AE5" s="14" t="s">
        <v>59</v>
      </c>
      <c r="AF5" s="14" t="s">
        <v>59</v>
      </c>
      <c r="AG5" s="14" t="s">
        <v>59</v>
      </c>
      <c r="AH5" s="14" t="s">
        <v>59</v>
      </c>
      <c r="AI5" s="14" t="s">
        <v>59</v>
      </c>
      <c r="AJ5" s="14" t="s">
        <v>59</v>
      </c>
      <c r="AK5" s="14" t="s">
        <v>60</v>
      </c>
      <c r="AL5" s="13">
        <v>1425</v>
      </c>
      <c r="AM5" s="13">
        <f>AP5/W5*1000</f>
        <v>1299.8190802333036</v>
      </c>
      <c r="AN5" s="14">
        <f t="shared" si="5"/>
        <v>0.91215374051459897</v>
      </c>
      <c r="AO5" s="13">
        <f>AL5*V5/1000</f>
        <v>249375</v>
      </c>
      <c r="AP5" s="17">
        <v>249374.19</v>
      </c>
      <c r="AQ5" s="18">
        <f>AP5/AO5</f>
        <v>0.99999675187969927</v>
      </c>
      <c r="AR5" s="19" t="s">
        <v>59</v>
      </c>
      <c r="AS5" s="19" t="s">
        <v>59</v>
      </c>
      <c r="AT5" s="19" t="s">
        <v>59</v>
      </c>
      <c r="AU5" s="19" t="s">
        <v>59</v>
      </c>
      <c r="AV5" s="19" t="s">
        <v>59</v>
      </c>
      <c r="AW5" s="19" t="s">
        <v>59</v>
      </c>
      <c r="AX5" s="20">
        <f>AO5</f>
        <v>249375</v>
      </c>
      <c r="AY5" s="20">
        <f t="shared" si="6"/>
        <v>249374.19</v>
      </c>
      <c r="AZ5" s="21">
        <f t="shared" si="7"/>
        <v>0.99999675187969927</v>
      </c>
    </row>
    <row r="7" spans="1:52" ht="165" x14ac:dyDescent="0.25">
      <c r="A7" t="s">
        <v>103</v>
      </c>
      <c r="B7" s="25" t="s">
        <v>64</v>
      </c>
      <c r="C7" s="26" t="s">
        <v>52</v>
      </c>
      <c r="D7" s="27">
        <v>44562</v>
      </c>
      <c r="E7" s="27">
        <v>44607</v>
      </c>
      <c r="F7" s="28" t="s">
        <v>53</v>
      </c>
      <c r="G7" s="29" t="s">
        <v>65</v>
      </c>
      <c r="H7" s="30" t="s">
        <v>55</v>
      </c>
      <c r="I7" s="31" t="s">
        <v>66</v>
      </c>
      <c r="J7" s="30" t="s">
        <v>67</v>
      </c>
      <c r="K7" s="30" t="s">
        <v>58</v>
      </c>
      <c r="L7" s="32">
        <v>61436</v>
      </c>
      <c r="M7" s="33">
        <v>0.75</v>
      </c>
      <c r="N7" s="33">
        <f>Q7/L7</f>
        <v>0.80249365193046418</v>
      </c>
      <c r="O7" s="34">
        <f>N7/M7</f>
        <v>1.0699915359072856</v>
      </c>
      <c r="P7" s="35">
        <f>M7*L7</f>
        <v>46077</v>
      </c>
      <c r="Q7" s="35">
        <v>49302</v>
      </c>
      <c r="R7" s="34">
        <f>Q7/P7</f>
        <v>1.0699915359072856</v>
      </c>
      <c r="S7" s="36">
        <v>7</v>
      </c>
      <c r="T7" s="36">
        <f>AF7/Q7</f>
        <v>7.5192081457141695</v>
      </c>
      <c r="U7" s="34">
        <f>T7/S7</f>
        <v>1.0741725922448813</v>
      </c>
      <c r="V7" s="34" t="s">
        <v>59</v>
      </c>
      <c r="W7" s="34" t="s">
        <v>59</v>
      </c>
      <c r="X7" s="34" t="s">
        <v>59</v>
      </c>
      <c r="Y7" s="34" t="s">
        <v>59</v>
      </c>
      <c r="Z7" s="37">
        <v>38480</v>
      </c>
      <c r="AA7" s="37"/>
      <c r="AB7" s="33">
        <v>0.1</v>
      </c>
      <c r="AC7" s="33">
        <f>Z7/AF7</f>
        <v>0.10380025464511534</v>
      </c>
      <c r="AD7" s="34">
        <f>AC7/AB7</f>
        <v>1.0380025464511533</v>
      </c>
      <c r="AE7" s="36">
        <f>P7*S7</f>
        <v>322539</v>
      </c>
      <c r="AF7" s="36">
        <v>370712</v>
      </c>
      <c r="AG7" s="34">
        <f>AF7/AE7</f>
        <v>1.1493555818056111</v>
      </c>
      <c r="AH7" s="34" t="s">
        <v>59</v>
      </c>
      <c r="AI7" s="34" t="s">
        <v>59</v>
      </c>
      <c r="AJ7" s="34" t="s">
        <v>59</v>
      </c>
      <c r="AK7" s="25" t="s">
        <v>68</v>
      </c>
      <c r="AL7" s="38">
        <v>5.55</v>
      </c>
      <c r="AM7" s="38">
        <f>AP7/AF7</f>
        <v>4.828792836487624</v>
      </c>
      <c r="AN7" s="34">
        <f>AM7/AL7</f>
        <v>0.87005276333110348</v>
      </c>
      <c r="AO7" s="36">
        <f>AL7*AE7</f>
        <v>1790091.45</v>
      </c>
      <c r="AP7" s="36">
        <v>1790091.45</v>
      </c>
      <c r="AQ7" s="34">
        <f>AP7/AO7</f>
        <v>1</v>
      </c>
      <c r="AR7" s="36" t="s">
        <v>59</v>
      </c>
      <c r="AS7" s="34" t="s">
        <v>59</v>
      </c>
      <c r="AT7" s="39" t="s">
        <v>59</v>
      </c>
      <c r="AU7" s="39" t="s">
        <v>59</v>
      </c>
      <c r="AV7" s="39" t="s">
        <v>59</v>
      </c>
      <c r="AW7" s="39" t="s">
        <v>59</v>
      </c>
      <c r="AX7" s="40">
        <f>AO7</f>
        <v>1790091.45</v>
      </c>
      <c r="AY7" s="40">
        <f>AP7</f>
        <v>1790091.45</v>
      </c>
      <c r="AZ7" s="41">
        <f>AQ7</f>
        <v>1</v>
      </c>
    </row>
    <row r="9" spans="1:52" s="262" customFormat="1" ht="25.5" x14ac:dyDescent="0.25">
      <c r="A9" s="262" t="s">
        <v>102</v>
      </c>
      <c r="B9" s="42" t="s">
        <v>69</v>
      </c>
      <c r="C9" s="43" t="s">
        <v>52</v>
      </c>
      <c r="D9" s="44" t="s">
        <v>70</v>
      </c>
      <c r="E9" s="44" t="s">
        <v>71</v>
      </c>
      <c r="F9" s="45" t="s">
        <v>72</v>
      </c>
      <c r="G9" s="43" t="s">
        <v>73</v>
      </c>
      <c r="H9" s="29" t="s">
        <v>74</v>
      </c>
      <c r="I9" s="44" t="s">
        <v>75</v>
      </c>
      <c r="J9" s="44" t="s">
        <v>76</v>
      </c>
      <c r="K9" s="44" t="s">
        <v>77</v>
      </c>
      <c r="L9" s="46">
        <f t="shared" ref="L9:L28" si="8">BI9*BH9</f>
        <v>0</v>
      </c>
      <c r="M9" s="41">
        <v>0.6</v>
      </c>
      <c r="N9" s="41" t="e">
        <f>Q9/L9</f>
        <v>#DIV/0!</v>
      </c>
      <c r="O9" s="41" t="e">
        <f>N9/M9</f>
        <v>#DIV/0!</v>
      </c>
      <c r="P9" s="46">
        <f t="shared" ref="P9:P28" si="9">L9*60%</f>
        <v>0</v>
      </c>
      <c r="Q9" s="46">
        <v>2070819</v>
      </c>
      <c r="R9" s="47" t="e">
        <f>Q9/P9</f>
        <v>#DIV/0!</v>
      </c>
      <c r="S9" s="43">
        <v>2</v>
      </c>
      <c r="T9" s="48">
        <f>W9/Q9</f>
        <v>2.0997663243383413</v>
      </c>
      <c r="U9" s="49">
        <f>T9/S9</f>
        <v>1.0498831621691707</v>
      </c>
      <c r="V9" s="46">
        <f t="shared" ref="V9:V29" si="10">S9*P9</f>
        <v>0</v>
      </c>
      <c r="W9" s="46">
        <v>4348236</v>
      </c>
      <c r="X9" s="49" t="e">
        <f>W9/V9</f>
        <v>#DIV/0!</v>
      </c>
      <c r="Y9" s="46">
        <f t="shared" ref="Y9:Y29" si="11">AB9*V9</f>
        <v>0</v>
      </c>
      <c r="Z9" s="46">
        <v>21523</v>
      </c>
      <c r="AA9" s="49" t="e">
        <f>Z9/Y9</f>
        <v>#DIV/0!</v>
      </c>
      <c r="AB9" s="50">
        <v>3.0000000000000001E-3</v>
      </c>
      <c r="AC9" s="50">
        <f t="shared" ref="AC9:AC29" si="12">Z9/W9</f>
        <v>4.9498233306563858E-3</v>
      </c>
      <c r="AD9" s="49">
        <f>AC9/AB9</f>
        <v>1.6499411102187953</v>
      </c>
      <c r="AE9" s="46">
        <f t="shared" ref="AE9:AE29" si="13">AH9*V9</f>
        <v>0</v>
      </c>
      <c r="AF9" s="46">
        <v>1238442</v>
      </c>
      <c r="AG9" s="49" t="e">
        <f>AF9/AE9</f>
        <v>#DIV/0!</v>
      </c>
      <c r="AH9" s="41">
        <v>0.35</v>
      </c>
      <c r="AI9" s="51">
        <f t="shared" ref="AI9:AI29" si="14">AF9/W9</f>
        <v>0.28481480765993383</v>
      </c>
      <c r="AJ9" s="49">
        <f>AI9/AH9</f>
        <v>0.81375659331409667</v>
      </c>
      <c r="AK9" s="46" t="s">
        <v>68</v>
      </c>
      <c r="AL9" s="52">
        <v>0.4</v>
      </c>
      <c r="AM9" s="52">
        <f>AP9/AF9</f>
        <v>0.35402419479717256</v>
      </c>
      <c r="AN9" s="49">
        <f>AM9/AL9</f>
        <v>0.88506048699293138</v>
      </c>
      <c r="AO9" s="53">
        <f t="shared" ref="AO9:AO28" si="15">AE9*AL9</f>
        <v>0</v>
      </c>
      <c r="AP9" s="53">
        <v>438438.43185300002</v>
      </c>
      <c r="AQ9" s="49" t="e">
        <f>AP9/AO9</f>
        <v>#DIV/0!</v>
      </c>
      <c r="AR9" s="50">
        <v>3.5000000000000003E-2</v>
      </c>
      <c r="AS9" s="50">
        <f>AV9/AP9</f>
        <v>3.5000000002611498E-2</v>
      </c>
      <c r="AT9" s="49">
        <f>AS9/AR9</f>
        <v>1.0000000000746141</v>
      </c>
      <c r="AU9" s="53">
        <f>AR9*AO9</f>
        <v>0</v>
      </c>
      <c r="AV9" s="53">
        <f>AY9-AP9</f>
        <v>15345.345115999982</v>
      </c>
      <c r="AW9" s="49" t="e">
        <f>AV9/AU9</f>
        <v>#DIV/0!</v>
      </c>
      <c r="AX9" s="54">
        <f>AU9+AO9</f>
        <v>0</v>
      </c>
      <c r="AY9" s="54">
        <v>453783.776969</v>
      </c>
      <c r="AZ9" s="49" t="e">
        <f>AY9/AX9</f>
        <v>#DIV/0!</v>
      </c>
    </row>
    <row r="10" spans="1:52" ht="25.5" x14ac:dyDescent="0.25">
      <c r="B10" s="42" t="s">
        <v>69</v>
      </c>
      <c r="C10" s="43" t="s">
        <v>52</v>
      </c>
      <c r="D10" s="44" t="s">
        <v>70</v>
      </c>
      <c r="E10" s="44" t="s">
        <v>71</v>
      </c>
      <c r="F10" s="45" t="s">
        <v>72</v>
      </c>
      <c r="G10" s="43" t="s">
        <v>73</v>
      </c>
      <c r="H10" s="29" t="s">
        <v>78</v>
      </c>
      <c r="I10" s="44" t="s">
        <v>75</v>
      </c>
      <c r="J10" s="44" t="s">
        <v>76</v>
      </c>
      <c r="K10" s="44" t="s">
        <v>77</v>
      </c>
      <c r="L10" s="46">
        <f t="shared" si="8"/>
        <v>0</v>
      </c>
      <c r="M10" s="41">
        <v>0.6</v>
      </c>
      <c r="N10" s="41" t="e">
        <f t="shared" ref="N10:N29" si="16">Q10/L10</f>
        <v>#DIV/0!</v>
      </c>
      <c r="O10" s="41" t="e">
        <f t="shared" ref="O10:O29" si="17">N10/M10</f>
        <v>#DIV/0!</v>
      </c>
      <c r="P10" s="46">
        <f t="shared" si="9"/>
        <v>0</v>
      </c>
      <c r="Q10" s="46">
        <v>784041</v>
      </c>
      <c r="R10" s="47" t="e">
        <f t="shared" ref="R10:R29" si="18">Q10/P10</f>
        <v>#DIV/0!</v>
      </c>
      <c r="S10" s="43">
        <v>2</v>
      </c>
      <c r="T10" s="48">
        <f t="shared" ref="T10:T29" si="19">W10/Q10</f>
        <v>2.1243850768008308</v>
      </c>
      <c r="U10" s="49">
        <f t="shared" ref="U10:U29" si="20">T10/S10</f>
        <v>1.0621925384004154</v>
      </c>
      <c r="V10" s="46">
        <f t="shared" si="10"/>
        <v>0</v>
      </c>
      <c r="W10" s="46">
        <v>1665605</v>
      </c>
      <c r="X10" s="49" t="e">
        <f t="shared" ref="X10:X29" si="21">W10/V10</f>
        <v>#DIV/0!</v>
      </c>
      <c r="Y10" s="46">
        <f t="shared" si="11"/>
        <v>0</v>
      </c>
      <c r="Z10" s="46">
        <v>7574</v>
      </c>
      <c r="AA10" s="49" t="e">
        <f t="shared" ref="AA10:AA29" si="22">Z10/Y10</f>
        <v>#DIV/0!</v>
      </c>
      <c r="AB10" s="50">
        <v>3.0000000000000001E-3</v>
      </c>
      <c r="AC10" s="50">
        <f t="shared" si="12"/>
        <v>4.5472966279520056E-3</v>
      </c>
      <c r="AD10" s="49">
        <f t="shared" ref="AD10:AD29" si="23">AC10/AB10</f>
        <v>1.5157655426506684</v>
      </c>
      <c r="AE10" s="46">
        <f t="shared" si="13"/>
        <v>0</v>
      </c>
      <c r="AF10" s="46">
        <v>514425</v>
      </c>
      <c r="AG10" s="49" t="e">
        <f t="shared" ref="AG10:AG29" si="24">AF10/AE10</f>
        <v>#DIV/0!</v>
      </c>
      <c r="AH10" s="41">
        <v>0.35</v>
      </c>
      <c r="AI10" s="51">
        <f t="shared" si="14"/>
        <v>0.30885173855746112</v>
      </c>
      <c r="AJ10" s="49">
        <f t="shared" ref="AJ10:AJ29" si="25">AI10/AH10</f>
        <v>0.88243353873560326</v>
      </c>
      <c r="AK10" s="46" t="s">
        <v>68</v>
      </c>
      <c r="AL10" s="52">
        <v>0.4</v>
      </c>
      <c r="AM10" s="52">
        <f t="shared" ref="AM10:AM28" si="26">AP10/AF10</f>
        <v>0.33337972509500902</v>
      </c>
      <c r="AN10" s="49">
        <f t="shared" ref="AN10:AN29" si="27">AM10/AL10</f>
        <v>0.83344931273752254</v>
      </c>
      <c r="AO10" s="53">
        <f t="shared" si="15"/>
        <v>0</v>
      </c>
      <c r="AP10" s="53">
        <v>171498.865082</v>
      </c>
      <c r="AQ10" s="49" t="e">
        <f t="shared" ref="AQ10:AQ29" si="28">AP10/AO10</f>
        <v>#DIV/0!</v>
      </c>
      <c r="AR10" s="50">
        <v>3.5000000000000003E-2</v>
      </c>
      <c r="AS10" s="50">
        <f t="shared" ref="AS10:AS29" si="29">AV10/AP10</f>
        <v>3.5000000000757932E-2</v>
      </c>
      <c r="AT10" s="49">
        <f t="shared" ref="AT10:AT29" si="30">AS10/AR10</f>
        <v>1.0000000000216551</v>
      </c>
      <c r="AU10" s="53">
        <f t="shared" ref="AU10:AU29" si="31">AR10*AO10</f>
        <v>0</v>
      </c>
      <c r="AV10" s="53">
        <f t="shared" ref="AV10:AV29" si="32">AY10-AP10</f>
        <v>6002.4602779999841</v>
      </c>
      <c r="AW10" s="49" t="e">
        <f t="shared" ref="AW10:AW29" si="33">AV10/AU10</f>
        <v>#DIV/0!</v>
      </c>
      <c r="AX10" s="54">
        <f t="shared" ref="AX10:AX29" si="34">AU10+AO10</f>
        <v>0</v>
      </c>
      <c r="AY10" s="54">
        <v>177501.32535999999</v>
      </c>
      <c r="AZ10" s="49" t="e">
        <f t="shared" ref="AZ10:AZ29" si="35">AY10/AX10</f>
        <v>#DIV/0!</v>
      </c>
    </row>
    <row r="11" spans="1:52" ht="25.5" x14ac:dyDescent="0.25">
      <c r="B11" s="42" t="s">
        <v>69</v>
      </c>
      <c r="C11" s="43" t="s">
        <v>52</v>
      </c>
      <c r="D11" s="44" t="s">
        <v>70</v>
      </c>
      <c r="E11" s="44" t="s">
        <v>71</v>
      </c>
      <c r="F11" s="45" t="s">
        <v>72</v>
      </c>
      <c r="G11" s="43" t="s">
        <v>73</v>
      </c>
      <c r="H11" s="29" t="s">
        <v>79</v>
      </c>
      <c r="I11" s="44" t="s">
        <v>75</v>
      </c>
      <c r="J11" s="44" t="s">
        <v>76</v>
      </c>
      <c r="K11" s="44" t="s">
        <v>77</v>
      </c>
      <c r="L11" s="46">
        <f t="shared" si="8"/>
        <v>0</v>
      </c>
      <c r="M11" s="41">
        <v>0.6</v>
      </c>
      <c r="N11" s="41" t="e">
        <f t="shared" si="16"/>
        <v>#DIV/0!</v>
      </c>
      <c r="O11" s="41" t="e">
        <f t="shared" si="17"/>
        <v>#DIV/0!</v>
      </c>
      <c r="P11" s="46">
        <f t="shared" si="9"/>
        <v>0</v>
      </c>
      <c r="Q11" s="46">
        <v>555410</v>
      </c>
      <c r="R11" s="47" t="e">
        <f t="shared" si="18"/>
        <v>#DIV/0!</v>
      </c>
      <c r="S11" s="43">
        <v>2</v>
      </c>
      <c r="T11" s="48">
        <f t="shared" si="19"/>
        <v>2.3973587079814913</v>
      </c>
      <c r="U11" s="49">
        <f t="shared" si="20"/>
        <v>1.1986793539907457</v>
      </c>
      <c r="V11" s="46">
        <f t="shared" si="10"/>
        <v>0</v>
      </c>
      <c r="W11" s="46">
        <v>1331517</v>
      </c>
      <c r="X11" s="49" t="e">
        <f t="shared" si="21"/>
        <v>#DIV/0!</v>
      </c>
      <c r="Y11" s="46">
        <f t="shared" si="11"/>
        <v>0</v>
      </c>
      <c r="Z11" s="46">
        <v>6070</v>
      </c>
      <c r="AA11" s="49" t="e">
        <f t="shared" si="22"/>
        <v>#DIV/0!</v>
      </c>
      <c r="AB11" s="50">
        <v>3.0000000000000001E-3</v>
      </c>
      <c r="AC11" s="50">
        <f t="shared" si="12"/>
        <v>4.5587101028375905E-3</v>
      </c>
      <c r="AD11" s="49">
        <f t="shared" si="23"/>
        <v>1.5195700342791969</v>
      </c>
      <c r="AE11" s="46">
        <f t="shared" si="13"/>
        <v>0</v>
      </c>
      <c r="AF11" s="46">
        <v>408388</v>
      </c>
      <c r="AG11" s="49" t="e">
        <f t="shared" si="24"/>
        <v>#DIV/0!</v>
      </c>
      <c r="AH11" s="41">
        <v>0.35</v>
      </c>
      <c r="AI11" s="51">
        <f t="shared" si="14"/>
        <v>0.30670881408198319</v>
      </c>
      <c r="AJ11" s="49">
        <f t="shared" si="25"/>
        <v>0.87631089737709489</v>
      </c>
      <c r="AK11" s="46" t="s">
        <v>68</v>
      </c>
      <c r="AL11" s="52">
        <v>0.4</v>
      </c>
      <c r="AM11" s="52">
        <f t="shared" si="26"/>
        <v>0.29053302079395088</v>
      </c>
      <c r="AN11" s="49">
        <f t="shared" si="27"/>
        <v>0.72633255198487712</v>
      </c>
      <c r="AO11" s="53">
        <f t="shared" si="15"/>
        <v>0</v>
      </c>
      <c r="AP11" s="53">
        <v>118650.19929600001</v>
      </c>
      <c r="AQ11" s="49" t="e">
        <f t="shared" si="28"/>
        <v>#DIV/0!</v>
      </c>
      <c r="AR11" s="50">
        <v>3.5000000000000003E-2</v>
      </c>
      <c r="AS11" s="50">
        <f t="shared" si="29"/>
        <v>3.499999999696584E-2</v>
      </c>
      <c r="AT11" s="49">
        <f t="shared" si="30"/>
        <v>0.99999999991330957</v>
      </c>
      <c r="AU11" s="53">
        <f t="shared" si="31"/>
        <v>0</v>
      </c>
      <c r="AV11" s="53">
        <f t="shared" si="32"/>
        <v>4152.7569749999966</v>
      </c>
      <c r="AW11" s="49" t="e">
        <f t="shared" si="33"/>
        <v>#DIV/0!</v>
      </c>
      <c r="AX11" s="54">
        <f t="shared" si="34"/>
        <v>0</v>
      </c>
      <c r="AY11" s="54">
        <v>122802.956271</v>
      </c>
      <c r="AZ11" s="49" t="e">
        <f t="shared" si="35"/>
        <v>#DIV/0!</v>
      </c>
    </row>
    <row r="12" spans="1:52" ht="25.5" x14ac:dyDescent="0.25">
      <c r="B12" s="42" t="s">
        <v>69</v>
      </c>
      <c r="C12" s="43" t="s">
        <v>52</v>
      </c>
      <c r="D12" s="44" t="s">
        <v>70</v>
      </c>
      <c r="E12" s="44" t="s">
        <v>71</v>
      </c>
      <c r="F12" s="45" t="s">
        <v>72</v>
      </c>
      <c r="G12" s="43" t="s">
        <v>73</v>
      </c>
      <c r="H12" s="29" t="s">
        <v>80</v>
      </c>
      <c r="I12" s="44" t="s">
        <v>75</v>
      </c>
      <c r="J12" s="44" t="s">
        <v>76</v>
      </c>
      <c r="K12" s="44" t="s">
        <v>77</v>
      </c>
      <c r="L12" s="46">
        <f t="shared" si="8"/>
        <v>0</v>
      </c>
      <c r="M12" s="41">
        <v>0.6</v>
      </c>
      <c r="N12" s="41" t="e">
        <f t="shared" si="16"/>
        <v>#DIV/0!</v>
      </c>
      <c r="O12" s="41" t="e">
        <f t="shared" si="17"/>
        <v>#DIV/0!</v>
      </c>
      <c r="P12" s="46">
        <f t="shared" si="9"/>
        <v>0</v>
      </c>
      <c r="Q12" s="46">
        <v>596322</v>
      </c>
      <c r="R12" s="47" t="e">
        <f t="shared" si="18"/>
        <v>#DIV/0!</v>
      </c>
      <c r="S12" s="43">
        <v>2</v>
      </c>
      <c r="T12" s="48">
        <f t="shared" si="19"/>
        <v>1.8917614979826336</v>
      </c>
      <c r="U12" s="49">
        <f t="shared" si="20"/>
        <v>0.9458807489913168</v>
      </c>
      <c r="V12" s="46">
        <f t="shared" si="10"/>
        <v>0</v>
      </c>
      <c r="W12" s="46">
        <v>1128099</v>
      </c>
      <c r="X12" s="49" t="e">
        <f t="shared" si="21"/>
        <v>#DIV/0!</v>
      </c>
      <c r="Y12" s="46">
        <f t="shared" si="11"/>
        <v>0</v>
      </c>
      <c r="Z12" s="46">
        <v>4344</v>
      </c>
      <c r="AA12" s="49" t="e">
        <f t="shared" si="22"/>
        <v>#DIV/0!</v>
      </c>
      <c r="AB12" s="50">
        <v>3.0000000000000001E-3</v>
      </c>
      <c r="AC12" s="50">
        <f t="shared" si="12"/>
        <v>3.8507258671446388E-3</v>
      </c>
      <c r="AD12" s="49">
        <f t="shared" si="23"/>
        <v>1.2835752890482128</v>
      </c>
      <c r="AE12" s="46">
        <f t="shared" si="13"/>
        <v>0</v>
      </c>
      <c r="AF12" s="46">
        <v>395081</v>
      </c>
      <c r="AG12" s="49" t="e">
        <f t="shared" si="24"/>
        <v>#DIV/0!</v>
      </c>
      <c r="AH12" s="41">
        <v>0.35</v>
      </c>
      <c r="AI12" s="51">
        <f t="shared" si="14"/>
        <v>0.35021837622407254</v>
      </c>
      <c r="AJ12" s="49">
        <f t="shared" si="25"/>
        <v>1.0006239320687786</v>
      </c>
      <c r="AK12" s="46" t="s">
        <v>68</v>
      </c>
      <c r="AL12" s="52">
        <v>0.4</v>
      </c>
      <c r="AM12" s="52">
        <f t="shared" si="26"/>
        <v>0.27881750934871585</v>
      </c>
      <c r="AN12" s="49">
        <f t="shared" si="27"/>
        <v>0.69704377337178958</v>
      </c>
      <c r="AO12" s="53">
        <f t="shared" si="15"/>
        <v>0</v>
      </c>
      <c r="AP12" s="53">
        <v>110155.500411</v>
      </c>
      <c r="AQ12" s="49" t="e">
        <f t="shared" si="28"/>
        <v>#DIV/0!</v>
      </c>
      <c r="AR12" s="50">
        <v>3.5000000000000003E-2</v>
      </c>
      <c r="AS12" s="50">
        <f t="shared" si="29"/>
        <v>3.5000000005583037E-2</v>
      </c>
      <c r="AT12" s="49">
        <f t="shared" si="30"/>
        <v>1.0000000001595153</v>
      </c>
      <c r="AU12" s="53">
        <f t="shared" si="31"/>
        <v>0</v>
      </c>
      <c r="AV12" s="53">
        <f t="shared" si="32"/>
        <v>3855.4425150000025</v>
      </c>
      <c r="AW12" s="49" t="e">
        <f t="shared" si="33"/>
        <v>#DIV/0!</v>
      </c>
      <c r="AX12" s="54">
        <f t="shared" si="34"/>
        <v>0</v>
      </c>
      <c r="AY12" s="54">
        <v>114010.942926</v>
      </c>
      <c r="AZ12" s="49" t="e">
        <f t="shared" si="35"/>
        <v>#DIV/0!</v>
      </c>
    </row>
    <row r="13" spans="1:52" ht="51" x14ac:dyDescent="0.25">
      <c r="B13" s="42" t="s">
        <v>69</v>
      </c>
      <c r="C13" s="43" t="s">
        <v>52</v>
      </c>
      <c r="D13" s="44" t="s">
        <v>70</v>
      </c>
      <c r="E13" s="44" t="s">
        <v>71</v>
      </c>
      <c r="F13" s="45" t="s">
        <v>72</v>
      </c>
      <c r="G13" s="43" t="s">
        <v>73</v>
      </c>
      <c r="H13" s="29" t="s">
        <v>81</v>
      </c>
      <c r="I13" s="44" t="s">
        <v>75</v>
      </c>
      <c r="J13" s="44" t="s">
        <v>76</v>
      </c>
      <c r="K13" s="44" t="s">
        <v>77</v>
      </c>
      <c r="L13" s="46">
        <f t="shared" si="8"/>
        <v>0</v>
      </c>
      <c r="M13" s="41">
        <v>0.6</v>
      </c>
      <c r="N13" s="41" t="e">
        <f t="shared" si="16"/>
        <v>#DIV/0!</v>
      </c>
      <c r="O13" s="41" t="e">
        <f t="shared" si="17"/>
        <v>#DIV/0!</v>
      </c>
      <c r="P13" s="46">
        <f t="shared" si="9"/>
        <v>0</v>
      </c>
      <c r="Q13" s="46">
        <v>306878</v>
      </c>
      <c r="R13" s="47" t="e">
        <f t="shared" si="18"/>
        <v>#DIV/0!</v>
      </c>
      <c r="S13" s="43">
        <v>2</v>
      </c>
      <c r="T13" s="48">
        <f t="shared" si="19"/>
        <v>2.1112689733379391</v>
      </c>
      <c r="U13" s="49">
        <f t="shared" si="20"/>
        <v>1.0556344866689695</v>
      </c>
      <c r="V13" s="46">
        <f t="shared" si="10"/>
        <v>0</v>
      </c>
      <c r="W13" s="46">
        <v>647902</v>
      </c>
      <c r="X13" s="49" t="e">
        <f t="shared" si="21"/>
        <v>#DIV/0!</v>
      </c>
      <c r="Y13" s="46">
        <f t="shared" si="11"/>
        <v>0</v>
      </c>
      <c r="Z13" s="46">
        <v>3238</v>
      </c>
      <c r="AA13" s="49" t="e">
        <f t="shared" si="22"/>
        <v>#DIV/0!</v>
      </c>
      <c r="AB13" s="50">
        <v>3.0000000000000001E-3</v>
      </c>
      <c r="AC13" s="50">
        <f t="shared" si="12"/>
        <v>4.9976694006192294E-3</v>
      </c>
      <c r="AD13" s="49">
        <f t="shared" si="23"/>
        <v>1.6658898002064098</v>
      </c>
      <c r="AE13" s="46">
        <f t="shared" si="13"/>
        <v>0</v>
      </c>
      <c r="AF13" s="46">
        <v>176817</v>
      </c>
      <c r="AG13" s="49" t="e">
        <f t="shared" si="24"/>
        <v>#DIV/0!</v>
      </c>
      <c r="AH13" s="41">
        <v>0.35</v>
      </c>
      <c r="AI13" s="51">
        <f t="shared" si="14"/>
        <v>0.27290701371503717</v>
      </c>
      <c r="AJ13" s="49">
        <f t="shared" si="25"/>
        <v>0.7797343249001063</v>
      </c>
      <c r="AK13" s="46" t="s">
        <v>68</v>
      </c>
      <c r="AL13" s="52">
        <v>0.4</v>
      </c>
      <c r="AM13" s="52">
        <f t="shared" si="26"/>
        <v>0.29355328819061516</v>
      </c>
      <c r="AN13" s="49">
        <f t="shared" si="27"/>
        <v>0.73388322047653787</v>
      </c>
      <c r="AO13" s="53">
        <f t="shared" si="15"/>
        <v>0</v>
      </c>
      <c r="AP13" s="53">
        <v>51905.211757999998</v>
      </c>
      <c r="AQ13" s="49" t="e">
        <f t="shared" si="28"/>
        <v>#DIV/0!</v>
      </c>
      <c r="AR13" s="50">
        <v>3.5000000000000003E-2</v>
      </c>
      <c r="AS13" s="50">
        <f t="shared" si="29"/>
        <v>3.4999999989789109E-2</v>
      </c>
      <c r="AT13" s="49">
        <f t="shared" si="30"/>
        <v>0.99999999970826015</v>
      </c>
      <c r="AU13" s="53">
        <f t="shared" si="31"/>
        <v>0</v>
      </c>
      <c r="AV13" s="53">
        <f t="shared" si="32"/>
        <v>1816.6824110000016</v>
      </c>
      <c r="AW13" s="49" t="e">
        <f t="shared" si="33"/>
        <v>#DIV/0!</v>
      </c>
      <c r="AX13" s="54">
        <f t="shared" si="34"/>
        <v>0</v>
      </c>
      <c r="AY13" s="54">
        <v>53721.894168999999</v>
      </c>
      <c r="AZ13" s="49" t="e">
        <f t="shared" si="35"/>
        <v>#DIV/0!</v>
      </c>
    </row>
    <row r="14" spans="1:52" ht="51" x14ac:dyDescent="0.25">
      <c r="B14" s="42" t="s">
        <v>69</v>
      </c>
      <c r="C14" s="43" t="s">
        <v>52</v>
      </c>
      <c r="D14" s="44" t="s">
        <v>70</v>
      </c>
      <c r="E14" s="44" t="s">
        <v>71</v>
      </c>
      <c r="F14" s="45" t="s">
        <v>72</v>
      </c>
      <c r="G14" s="43" t="s">
        <v>73</v>
      </c>
      <c r="H14" s="29" t="s">
        <v>82</v>
      </c>
      <c r="I14" s="44" t="s">
        <v>75</v>
      </c>
      <c r="J14" s="44" t="s">
        <v>76</v>
      </c>
      <c r="K14" s="44" t="s">
        <v>77</v>
      </c>
      <c r="L14" s="46">
        <f t="shared" si="8"/>
        <v>0</v>
      </c>
      <c r="M14" s="41">
        <v>0.6</v>
      </c>
      <c r="N14" s="41" t="e">
        <f t="shared" si="16"/>
        <v>#DIV/0!</v>
      </c>
      <c r="O14" s="41" t="e">
        <f t="shared" si="17"/>
        <v>#DIV/0!</v>
      </c>
      <c r="P14" s="46">
        <f t="shared" si="9"/>
        <v>0</v>
      </c>
      <c r="Q14" s="46">
        <v>183283</v>
      </c>
      <c r="R14" s="47" t="e">
        <f t="shared" si="18"/>
        <v>#DIV/0!</v>
      </c>
      <c r="S14" s="43">
        <v>2</v>
      </c>
      <c r="T14" s="48">
        <f t="shared" si="19"/>
        <v>2.159043664715222</v>
      </c>
      <c r="U14" s="49">
        <f t="shared" si="20"/>
        <v>1.079521832357611</v>
      </c>
      <c r="V14" s="46">
        <f t="shared" si="10"/>
        <v>0</v>
      </c>
      <c r="W14" s="46">
        <v>395716</v>
      </c>
      <c r="X14" s="49" t="e">
        <f t="shared" si="21"/>
        <v>#DIV/0!</v>
      </c>
      <c r="Y14" s="46">
        <f t="shared" si="11"/>
        <v>0</v>
      </c>
      <c r="Z14" s="46">
        <v>2028</v>
      </c>
      <c r="AA14" s="49" t="e">
        <f t="shared" si="22"/>
        <v>#DIV/0!</v>
      </c>
      <c r="AB14" s="50">
        <v>3.0000000000000001E-3</v>
      </c>
      <c r="AC14" s="50">
        <f t="shared" si="12"/>
        <v>5.1248875456135212E-3</v>
      </c>
      <c r="AD14" s="49">
        <f t="shared" si="23"/>
        <v>1.7082958485378403</v>
      </c>
      <c r="AE14" s="46">
        <f t="shared" si="13"/>
        <v>0</v>
      </c>
      <c r="AF14" s="46">
        <v>118147</v>
      </c>
      <c r="AG14" s="49" t="e">
        <f t="shared" si="24"/>
        <v>#DIV/0!</v>
      </c>
      <c r="AH14" s="41">
        <v>0.35</v>
      </c>
      <c r="AI14" s="51">
        <f t="shared" si="14"/>
        <v>0.29856513256982281</v>
      </c>
      <c r="AJ14" s="49">
        <f t="shared" si="25"/>
        <v>0.85304323591377951</v>
      </c>
      <c r="AK14" s="46" t="s">
        <v>68</v>
      </c>
      <c r="AL14" s="52">
        <v>0.4</v>
      </c>
      <c r="AM14" s="52">
        <f t="shared" si="26"/>
        <v>0.2808750036564619</v>
      </c>
      <c r="AN14" s="49">
        <f t="shared" si="27"/>
        <v>0.70218750914115469</v>
      </c>
      <c r="AO14" s="53">
        <f t="shared" si="15"/>
        <v>0</v>
      </c>
      <c r="AP14" s="53">
        <v>33184.539057000002</v>
      </c>
      <c r="AQ14" s="49" t="e">
        <f t="shared" si="28"/>
        <v>#DIV/0!</v>
      </c>
      <c r="AR14" s="50">
        <v>3.5000000000000003E-2</v>
      </c>
      <c r="AS14" s="50">
        <f t="shared" si="29"/>
        <v>3.5000000000150709E-2</v>
      </c>
      <c r="AT14" s="49">
        <f t="shared" si="30"/>
        <v>1.0000000000043059</v>
      </c>
      <c r="AU14" s="53">
        <f t="shared" si="31"/>
        <v>0</v>
      </c>
      <c r="AV14" s="53">
        <f t="shared" si="32"/>
        <v>1161.4588670000012</v>
      </c>
      <c r="AW14" s="49" t="e">
        <f t="shared" si="33"/>
        <v>#DIV/0!</v>
      </c>
      <c r="AX14" s="54">
        <f t="shared" si="34"/>
        <v>0</v>
      </c>
      <c r="AY14" s="54">
        <v>34345.997924000003</v>
      </c>
      <c r="AZ14" s="49" t="e">
        <f t="shared" si="35"/>
        <v>#DIV/0!</v>
      </c>
    </row>
    <row r="15" spans="1:52" ht="25.5" x14ac:dyDescent="0.25">
      <c r="B15" s="42" t="s">
        <v>69</v>
      </c>
      <c r="C15" s="43" t="s">
        <v>52</v>
      </c>
      <c r="D15" s="44" t="s">
        <v>70</v>
      </c>
      <c r="E15" s="44" t="s">
        <v>71</v>
      </c>
      <c r="F15" s="45" t="s">
        <v>72</v>
      </c>
      <c r="G15" s="43" t="s">
        <v>73</v>
      </c>
      <c r="H15" s="29" t="s">
        <v>83</v>
      </c>
      <c r="I15" s="44" t="s">
        <v>75</v>
      </c>
      <c r="J15" s="44" t="s">
        <v>76</v>
      </c>
      <c r="K15" s="44" t="s">
        <v>77</v>
      </c>
      <c r="L15" s="46">
        <f t="shared" si="8"/>
        <v>0</v>
      </c>
      <c r="M15" s="41">
        <v>0.6</v>
      </c>
      <c r="N15" s="41" t="e">
        <f t="shared" si="16"/>
        <v>#DIV/0!</v>
      </c>
      <c r="O15" s="41" t="e">
        <f t="shared" si="17"/>
        <v>#DIV/0!</v>
      </c>
      <c r="P15" s="46">
        <f t="shared" si="9"/>
        <v>0</v>
      </c>
      <c r="Q15" s="46">
        <v>2253882</v>
      </c>
      <c r="R15" s="47" t="e">
        <f t="shared" si="18"/>
        <v>#DIV/0!</v>
      </c>
      <c r="S15" s="43">
        <v>2</v>
      </c>
      <c r="T15" s="48">
        <f t="shared" si="19"/>
        <v>1.8225909785871666</v>
      </c>
      <c r="U15" s="49">
        <f t="shared" si="20"/>
        <v>0.91129548929358328</v>
      </c>
      <c r="V15" s="46">
        <f t="shared" si="10"/>
        <v>0</v>
      </c>
      <c r="W15" s="46">
        <v>4107905</v>
      </c>
      <c r="X15" s="49" t="e">
        <f t="shared" si="21"/>
        <v>#DIV/0!</v>
      </c>
      <c r="Y15" s="46">
        <f t="shared" si="11"/>
        <v>0</v>
      </c>
      <c r="Z15" s="46">
        <v>23253</v>
      </c>
      <c r="AA15" s="49" t="e">
        <f t="shared" si="22"/>
        <v>#DIV/0!</v>
      </c>
      <c r="AB15" s="50">
        <v>3.0000000000000001E-3</v>
      </c>
      <c r="AC15" s="50">
        <f t="shared" si="12"/>
        <v>5.6605495988831288E-3</v>
      </c>
      <c r="AD15" s="49">
        <f t="shared" si="23"/>
        <v>1.8868498662943762</v>
      </c>
      <c r="AE15" s="46">
        <f t="shared" si="13"/>
        <v>0</v>
      </c>
      <c r="AF15" s="46">
        <v>949634</v>
      </c>
      <c r="AG15" s="49" t="e">
        <f t="shared" si="24"/>
        <v>#DIV/0!</v>
      </c>
      <c r="AH15" s="41">
        <v>0.35</v>
      </c>
      <c r="AI15" s="51">
        <f t="shared" si="14"/>
        <v>0.23117233723759434</v>
      </c>
      <c r="AJ15" s="49">
        <f t="shared" si="25"/>
        <v>0.6604923921074124</v>
      </c>
      <c r="AK15" s="46" t="s">
        <v>68</v>
      </c>
      <c r="AL15" s="52">
        <v>0.4</v>
      </c>
      <c r="AM15" s="52">
        <f t="shared" si="26"/>
        <v>0.35804245553760711</v>
      </c>
      <c r="AN15" s="49">
        <f t="shared" si="27"/>
        <v>0.89510613884401768</v>
      </c>
      <c r="AO15" s="53">
        <f t="shared" si="15"/>
        <v>0</v>
      </c>
      <c r="AP15" s="53">
        <v>340009.28922199999</v>
      </c>
      <c r="AQ15" s="49" t="e">
        <f t="shared" si="28"/>
        <v>#DIV/0!</v>
      </c>
      <c r="AR15" s="50">
        <v>3.5000000000000003E-2</v>
      </c>
      <c r="AS15" s="50">
        <f t="shared" si="29"/>
        <v>3.5000000006558743E-2</v>
      </c>
      <c r="AT15" s="49">
        <f t="shared" si="30"/>
        <v>1.0000000001873925</v>
      </c>
      <c r="AU15" s="53">
        <f t="shared" si="31"/>
        <v>0</v>
      </c>
      <c r="AV15" s="53">
        <f t="shared" si="32"/>
        <v>11900.325125000032</v>
      </c>
      <c r="AW15" s="49" t="e">
        <f t="shared" si="33"/>
        <v>#DIV/0!</v>
      </c>
      <c r="AX15" s="54">
        <f t="shared" si="34"/>
        <v>0</v>
      </c>
      <c r="AY15" s="54">
        <v>351909.61434700002</v>
      </c>
      <c r="AZ15" s="49" t="e">
        <f t="shared" si="35"/>
        <v>#DIV/0!</v>
      </c>
    </row>
    <row r="16" spans="1:52" ht="25.5" x14ac:dyDescent="0.25">
      <c r="B16" s="42" t="s">
        <v>69</v>
      </c>
      <c r="C16" s="43" t="s">
        <v>52</v>
      </c>
      <c r="D16" s="44" t="s">
        <v>70</v>
      </c>
      <c r="E16" s="44" t="s">
        <v>71</v>
      </c>
      <c r="F16" s="45" t="s">
        <v>72</v>
      </c>
      <c r="G16" s="43" t="s">
        <v>73</v>
      </c>
      <c r="H16" s="29" t="s">
        <v>84</v>
      </c>
      <c r="I16" s="44" t="s">
        <v>75</v>
      </c>
      <c r="J16" s="44" t="s">
        <v>76</v>
      </c>
      <c r="K16" s="44" t="s">
        <v>77</v>
      </c>
      <c r="L16" s="46">
        <f t="shared" si="8"/>
        <v>0</v>
      </c>
      <c r="M16" s="41">
        <v>0.6</v>
      </c>
      <c r="N16" s="41" t="e">
        <f t="shared" si="16"/>
        <v>#DIV/0!</v>
      </c>
      <c r="O16" s="41" t="e">
        <f t="shared" si="17"/>
        <v>#DIV/0!</v>
      </c>
      <c r="P16" s="46">
        <f t="shared" si="9"/>
        <v>0</v>
      </c>
      <c r="Q16" s="46">
        <v>1961956</v>
      </c>
      <c r="R16" s="47" t="e">
        <f t="shared" si="18"/>
        <v>#DIV/0!</v>
      </c>
      <c r="S16" s="43">
        <v>2</v>
      </c>
      <c r="T16" s="48">
        <f t="shared" si="19"/>
        <v>2.1040329140918552</v>
      </c>
      <c r="U16" s="49">
        <f t="shared" si="20"/>
        <v>1.0520164570459276</v>
      </c>
      <c r="V16" s="46">
        <f t="shared" si="10"/>
        <v>0</v>
      </c>
      <c r="W16" s="46">
        <v>4128020</v>
      </c>
      <c r="X16" s="49" t="e">
        <f t="shared" si="21"/>
        <v>#DIV/0!</v>
      </c>
      <c r="Y16" s="46">
        <f t="shared" si="11"/>
        <v>0</v>
      </c>
      <c r="Z16" s="46">
        <v>25008</v>
      </c>
      <c r="AA16" s="49" t="e">
        <f t="shared" si="22"/>
        <v>#DIV/0!</v>
      </c>
      <c r="AB16" s="50">
        <v>3.0000000000000001E-3</v>
      </c>
      <c r="AC16" s="50">
        <f t="shared" si="12"/>
        <v>6.0581101835746921E-3</v>
      </c>
      <c r="AD16" s="49">
        <f t="shared" si="23"/>
        <v>2.0193700611915641</v>
      </c>
      <c r="AE16" s="46">
        <f t="shared" si="13"/>
        <v>0</v>
      </c>
      <c r="AF16" s="46">
        <v>954763</v>
      </c>
      <c r="AG16" s="49" t="e">
        <f t="shared" si="24"/>
        <v>#DIV/0!</v>
      </c>
      <c r="AH16" s="41">
        <v>0.35</v>
      </c>
      <c r="AI16" s="51">
        <f t="shared" si="14"/>
        <v>0.23128836585094065</v>
      </c>
      <c r="AJ16" s="49">
        <f t="shared" si="25"/>
        <v>0.66082390243125899</v>
      </c>
      <c r="AK16" s="46" t="s">
        <v>68</v>
      </c>
      <c r="AL16" s="52">
        <v>0.4</v>
      </c>
      <c r="AM16" s="52">
        <f t="shared" si="26"/>
        <v>0.34362186208514578</v>
      </c>
      <c r="AN16" s="49">
        <f t="shared" si="27"/>
        <v>0.85905465521286439</v>
      </c>
      <c r="AO16" s="53">
        <f t="shared" si="15"/>
        <v>0</v>
      </c>
      <c r="AP16" s="53">
        <v>328077.43991000002</v>
      </c>
      <c r="AQ16" s="49" t="e">
        <f t="shared" si="28"/>
        <v>#DIV/0!</v>
      </c>
      <c r="AR16" s="50">
        <v>3.5000000000000003E-2</v>
      </c>
      <c r="AS16" s="50">
        <f t="shared" si="29"/>
        <v>3.5000000003505165E-2</v>
      </c>
      <c r="AT16" s="49">
        <f t="shared" si="30"/>
        <v>1.0000000001001474</v>
      </c>
      <c r="AU16" s="53">
        <f t="shared" si="31"/>
        <v>0</v>
      </c>
      <c r="AV16" s="53">
        <f t="shared" si="32"/>
        <v>11482.710397999967</v>
      </c>
      <c r="AW16" s="49" t="e">
        <f t="shared" si="33"/>
        <v>#DIV/0!</v>
      </c>
      <c r="AX16" s="54">
        <f t="shared" si="34"/>
        <v>0</v>
      </c>
      <c r="AY16" s="54">
        <v>339560.15030799998</v>
      </c>
      <c r="AZ16" s="49" t="e">
        <f t="shared" si="35"/>
        <v>#DIV/0!</v>
      </c>
    </row>
    <row r="17" spans="1:52" ht="25.5" x14ac:dyDescent="0.25">
      <c r="B17" s="42" t="s">
        <v>69</v>
      </c>
      <c r="C17" s="43" t="s">
        <v>52</v>
      </c>
      <c r="D17" s="44" t="s">
        <v>70</v>
      </c>
      <c r="E17" s="44" t="s">
        <v>71</v>
      </c>
      <c r="F17" s="45" t="s">
        <v>72</v>
      </c>
      <c r="G17" s="43" t="s">
        <v>73</v>
      </c>
      <c r="H17" s="29" t="s">
        <v>85</v>
      </c>
      <c r="I17" s="44" t="s">
        <v>75</v>
      </c>
      <c r="J17" s="44" t="s">
        <v>76</v>
      </c>
      <c r="K17" s="44" t="s">
        <v>77</v>
      </c>
      <c r="L17" s="46">
        <f t="shared" si="8"/>
        <v>0</v>
      </c>
      <c r="M17" s="41">
        <v>0.6</v>
      </c>
      <c r="N17" s="41" t="e">
        <f t="shared" si="16"/>
        <v>#DIV/0!</v>
      </c>
      <c r="O17" s="41" t="e">
        <f t="shared" si="17"/>
        <v>#DIV/0!</v>
      </c>
      <c r="P17" s="46">
        <f t="shared" si="9"/>
        <v>0</v>
      </c>
      <c r="Q17" s="46">
        <v>1197166</v>
      </c>
      <c r="R17" s="47" t="e">
        <f t="shared" si="18"/>
        <v>#DIV/0!</v>
      </c>
      <c r="S17" s="43">
        <v>2</v>
      </c>
      <c r="T17" s="48">
        <f t="shared" si="19"/>
        <v>2.265244753025061</v>
      </c>
      <c r="U17" s="49">
        <f t="shared" si="20"/>
        <v>1.1326223765125305</v>
      </c>
      <c r="V17" s="46">
        <f t="shared" si="10"/>
        <v>0</v>
      </c>
      <c r="W17" s="46">
        <v>2711874</v>
      </c>
      <c r="X17" s="49" t="e">
        <f t="shared" si="21"/>
        <v>#DIV/0!</v>
      </c>
      <c r="Y17" s="46">
        <f t="shared" si="11"/>
        <v>0</v>
      </c>
      <c r="Z17" s="46">
        <v>16627</v>
      </c>
      <c r="AA17" s="49" t="e">
        <f t="shared" si="22"/>
        <v>#DIV/0!</v>
      </c>
      <c r="AB17" s="50">
        <v>3.0000000000000001E-3</v>
      </c>
      <c r="AC17" s="50">
        <f t="shared" si="12"/>
        <v>6.1311845609346161E-3</v>
      </c>
      <c r="AD17" s="49">
        <f t="shared" si="23"/>
        <v>2.0437281869782051</v>
      </c>
      <c r="AE17" s="46">
        <f t="shared" si="13"/>
        <v>0</v>
      </c>
      <c r="AF17" s="46">
        <v>730357</v>
      </c>
      <c r="AG17" s="49" t="e">
        <f t="shared" si="24"/>
        <v>#DIV/0!</v>
      </c>
      <c r="AH17" s="41">
        <v>0.35</v>
      </c>
      <c r="AI17" s="51">
        <f t="shared" si="14"/>
        <v>0.26931819103689919</v>
      </c>
      <c r="AJ17" s="49">
        <f t="shared" si="25"/>
        <v>0.76948054581971204</v>
      </c>
      <c r="AK17" s="46" t="s">
        <v>68</v>
      </c>
      <c r="AL17" s="52">
        <v>0.4</v>
      </c>
      <c r="AM17" s="52">
        <f t="shared" si="26"/>
        <v>0.33342484020965091</v>
      </c>
      <c r="AN17" s="49">
        <f t="shared" si="27"/>
        <v>0.83356210052412727</v>
      </c>
      <c r="AO17" s="53">
        <f t="shared" si="15"/>
        <v>0</v>
      </c>
      <c r="AP17" s="53">
        <v>243519.16602100001</v>
      </c>
      <c r="AQ17" s="49" t="e">
        <f t="shared" si="28"/>
        <v>#DIV/0!</v>
      </c>
      <c r="AR17" s="50">
        <v>3.5000000000000003E-2</v>
      </c>
      <c r="AS17" s="50">
        <f t="shared" si="29"/>
        <v>3.5000000005194647E-2</v>
      </c>
      <c r="AT17" s="49">
        <f t="shared" si="30"/>
        <v>1.0000000001484184</v>
      </c>
      <c r="AU17" s="53">
        <f t="shared" si="31"/>
        <v>0</v>
      </c>
      <c r="AV17" s="53">
        <f t="shared" si="32"/>
        <v>8523.1708119999967</v>
      </c>
      <c r="AW17" s="49" t="e">
        <f t="shared" si="33"/>
        <v>#DIV/0!</v>
      </c>
      <c r="AX17" s="54">
        <f t="shared" si="34"/>
        <v>0</v>
      </c>
      <c r="AY17" s="54">
        <v>252042.33683300001</v>
      </c>
      <c r="AZ17" s="49" t="e">
        <f t="shared" si="35"/>
        <v>#DIV/0!</v>
      </c>
    </row>
    <row r="18" spans="1:52" ht="25.5" x14ac:dyDescent="0.25">
      <c r="B18" s="42" t="s">
        <v>69</v>
      </c>
      <c r="C18" s="43" t="s">
        <v>52</v>
      </c>
      <c r="D18" s="44" t="s">
        <v>70</v>
      </c>
      <c r="E18" s="44" t="s">
        <v>71</v>
      </c>
      <c r="F18" s="45" t="s">
        <v>72</v>
      </c>
      <c r="G18" s="43" t="s">
        <v>73</v>
      </c>
      <c r="H18" s="29" t="s">
        <v>86</v>
      </c>
      <c r="I18" s="44" t="s">
        <v>75</v>
      </c>
      <c r="J18" s="44" t="s">
        <v>76</v>
      </c>
      <c r="K18" s="44" t="s">
        <v>77</v>
      </c>
      <c r="L18" s="46">
        <f t="shared" si="8"/>
        <v>0</v>
      </c>
      <c r="M18" s="41">
        <v>0.6</v>
      </c>
      <c r="N18" s="41" t="e">
        <f t="shared" si="16"/>
        <v>#DIV/0!</v>
      </c>
      <c r="O18" s="41" t="e">
        <f t="shared" si="17"/>
        <v>#DIV/0!</v>
      </c>
      <c r="P18" s="46">
        <f t="shared" si="9"/>
        <v>0</v>
      </c>
      <c r="Q18" s="46">
        <v>484402</v>
      </c>
      <c r="R18" s="47" t="e">
        <f t="shared" si="18"/>
        <v>#DIV/0!</v>
      </c>
      <c r="S18" s="43">
        <v>2</v>
      </c>
      <c r="T18" s="48">
        <f t="shared" si="19"/>
        <v>2.407506575117361</v>
      </c>
      <c r="U18" s="49">
        <f t="shared" si="20"/>
        <v>1.2037532875586805</v>
      </c>
      <c r="V18" s="46">
        <f t="shared" si="10"/>
        <v>0</v>
      </c>
      <c r="W18" s="46">
        <v>1166201</v>
      </c>
      <c r="X18" s="49" t="e">
        <f t="shared" si="21"/>
        <v>#DIV/0!</v>
      </c>
      <c r="Y18" s="46">
        <f t="shared" si="11"/>
        <v>0</v>
      </c>
      <c r="Z18" s="46">
        <v>6364</v>
      </c>
      <c r="AA18" s="49" t="e">
        <f t="shared" si="22"/>
        <v>#DIV/0!</v>
      </c>
      <c r="AB18" s="50">
        <v>3.0000000000000001E-3</v>
      </c>
      <c r="AC18" s="50">
        <f t="shared" si="12"/>
        <v>5.4570352795101362E-3</v>
      </c>
      <c r="AD18" s="49">
        <f t="shared" si="23"/>
        <v>1.8190117598367119</v>
      </c>
      <c r="AE18" s="46">
        <f t="shared" si="13"/>
        <v>0</v>
      </c>
      <c r="AF18" s="46">
        <v>337137</v>
      </c>
      <c r="AG18" s="49" t="e">
        <f t="shared" si="24"/>
        <v>#DIV/0!</v>
      </c>
      <c r="AH18" s="41">
        <v>0.35</v>
      </c>
      <c r="AI18" s="51">
        <f t="shared" si="14"/>
        <v>0.2890899596210259</v>
      </c>
      <c r="AJ18" s="49">
        <f t="shared" si="25"/>
        <v>0.82597131320293116</v>
      </c>
      <c r="AK18" s="46" t="s">
        <v>68</v>
      </c>
      <c r="AL18" s="52">
        <v>0.4</v>
      </c>
      <c r="AM18" s="52">
        <f t="shared" si="26"/>
        <v>0.25794608484681303</v>
      </c>
      <c r="AN18" s="49">
        <f t="shared" si="27"/>
        <v>0.64486521211703252</v>
      </c>
      <c r="AO18" s="53">
        <f t="shared" si="15"/>
        <v>0</v>
      </c>
      <c r="AP18" s="53">
        <v>86963.169206999999</v>
      </c>
      <c r="AQ18" s="49" t="e">
        <f t="shared" si="28"/>
        <v>#DIV/0!</v>
      </c>
      <c r="AR18" s="50">
        <v>3.5000000000000003E-2</v>
      </c>
      <c r="AS18" s="50">
        <f t="shared" si="29"/>
        <v>3.5000000008681906E-2</v>
      </c>
      <c r="AT18" s="49">
        <f t="shared" si="30"/>
        <v>1.0000000002480545</v>
      </c>
      <c r="AU18" s="53">
        <f t="shared" si="31"/>
        <v>0</v>
      </c>
      <c r="AV18" s="53">
        <f t="shared" si="32"/>
        <v>3043.710923000006</v>
      </c>
      <c r="AW18" s="49" t="e">
        <f t="shared" si="33"/>
        <v>#DIV/0!</v>
      </c>
      <c r="AX18" s="54">
        <f t="shared" si="34"/>
        <v>0</v>
      </c>
      <c r="AY18" s="54">
        <v>90006.880130000005</v>
      </c>
      <c r="AZ18" s="49" t="e">
        <f t="shared" si="35"/>
        <v>#DIV/0!</v>
      </c>
    </row>
    <row r="19" spans="1:52" ht="25.5" x14ac:dyDescent="0.25">
      <c r="B19" s="42" t="s">
        <v>69</v>
      </c>
      <c r="C19" s="43" t="s">
        <v>52</v>
      </c>
      <c r="D19" s="44" t="s">
        <v>70</v>
      </c>
      <c r="E19" s="44" t="s">
        <v>71</v>
      </c>
      <c r="F19" s="45" t="s">
        <v>72</v>
      </c>
      <c r="G19" s="43" t="s">
        <v>73</v>
      </c>
      <c r="H19" s="29" t="s">
        <v>87</v>
      </c>
      <c r="I19" s="44" t="s">
        <v>75</v>
      </c>
      <c r="J19" s="44" t="s">
        <v>76</v>
      </c>
      <c r="K19" s="44" t="s">
        <v>77</v>
      </c>
      <c r="L19" s="46">
        <f t="shared" si="8"/>
        <v>0</v>
      </c>
      <c r="M19" s="41">
        <v>0.6</v>
      </c>
      <c r="N19" s="41" t="e">
        <f t="shared" si="16"/>
        <v>#DIV/0!</v>
      </c>
      <c r="O19" s="41" t="e">
        <f t="shared" si="17"/>
        <v>#DIV/0!</v>
      </c>
      <c r="P19" s="46">
        <f t="shared" si="9"/>
        <v>0</v>
      </c>
      <c r="Q19" s="46">
        <v>513319</v>
      </c>
      <c r="R19" s="47" t="e">
        <f t="shared" si="18"/>
        <v>#DIV/0!</v>
      </c>
      <c r="S19" s="43">
        <v>2</v>
      </c>
      <c r="T19" s="48">
        <f t="shared" si="19"/>
        <v>2.2496089176515968</v>
      </c>
      <c r="U19" s="49">
        <f t="shared" si="20"/>
        <v>1.1248044588257984</v>
      </c>
      <c r="V19" s="46">
        <f t="shared" si="10"/>
        <v>0</v>
      </c>
      <c r="W19" s="46">
        <v>1154767</v>
      </c>
      <c r="X19" s="49" t="e">
        <f t="shared" si="21"/>
        <v>#DIV/0!</v>
      </c>
      <c r="Y19" s="46">
        <f t="shared" si="11"/>
        <v>0</v>
      </c>
      <c r="Z19" s="46">
        <v>6811</v>
      </c>
      <c r="AA19" s="49" t="e">
        <f t="shared" si="22"/>
        <v>#DIV/0!</v>
      </c>
      <c r="AB19" s="50">
        <v>3.0000000000000001E-3</v>
      </c>
      <c r="AC19" s="50">
        <f t="shared" si="12"/>
        <v>5.8981595421414013E-3</v>
      </c>
      <c r="AD19" s="49">
        <f t="shared" si="23"/>
        <v>1.9660531807138004</v>
      </c>
      <c r="AE19" s="46">
        <f t="shared" si="13"/>
        <v>0</v>
      </c>
      <c r="AF19" s="46">
        <v>329726</v>
      </c>
      <c r="AG19" s="49" t="e">
        <f t="shared" si="24"/>
        <v>#DIV/0!</v>
      </c>
      <c r="AH19" s="41">
        <v>0.35</v>
      </c>
      <c r="AI19" s="51">
        <f t="shared" si="14"/>
        <v>0.28553465764089203</v>
      </c>
      <c r="AJ19" s="49">
        <f t="shared" si="25"/>
        <v>0.81581330754540582</v>
      </c>
      <c r="AK19" s="46" t="s">
        <v>68</v>
      </c>
      <c r="AL19" s="52">
        <v>0.4</v>
      </c>
      <c r="AM19" s="52">
        <f t="shared" si="26"/>
        <v>0.27420033744381694</v>
      </c>
      <c r="AN19" s="49">
        <f t="shared" si="27"/>
        <v>0.68550084360954233</v>
      </c>
      <c r="AO19" s="53">
        <f t="shared" si="15"/>
        <v>0</v>
      </c>
      <c r="AP19" s="53">
        <v>90410.980463999993</v>
      </c>
      <c r="AQ19" s="49" t="e">
        <f t="shared" si="28"/>
        <v>#DIV/0!</v>
      </c>
      <c r="AR19" s="50">
        <v>3.5000000000000003E-2</v>
      </c>
      <c r="AS19" s="50">
        <f t="shared" si="29"/>
        <v>3.5000000008406099E-2</v>
      </c>
      <c r="AT19" s="49">
        <f t="shared" si="30"/>
        <v>1.0000000002401741</v>
      </c>
      <c r="AU19" s="53">
        <f t="shared" si="31"/>
        <v>0</v>
      </c>
      <c r="AV19" s="53">
        <f t="shared" si="32"/>
        <v>3164.3843170000036</v>
      </c>
      <c r="AW19" s="49" t="e">
        <f t="shared" si="33"/>
        <v>#DIV/0!</v>
      </c>
      <c r="AX19" s="54">
        <f t="shared" si="34"/>
        <v>0</v>
      </c>
      <c r="AY19" s="54">
        <v>93575.364780999997</v>
      </c>
      <c r="AZ19" s="49" t="e">
        <f t="shared" si="35"/>
        <v>#DIV/0!</v>
      </c>
    </row>
    <row r="20" spans="1:52" ht="25.5" x14ac:dyDescent="0.25">
      <c r="B20" s="42" t="s">
        <v>69</v>
      </c>
      <c r="C20" s="43" t="s">
        <v>52</v>
      </c>
      <c r="D20" s="44" t="s">
        <v>70</v>
      </c>
      <c r="E20" s="44" t="s">
        <v>71</v>
      </c>
      <c r="F20" s="45" t="s">
        <v>72</v>
      </c>
      <c r="G20" s="43" t="s">
        <v>73</v>
      </c>
      <c r="H20" s="29" t="s">
        <v>88</v>
      </c>
      <c r="I20" s="44" t="s">
        <v>75</v>
      </c>
      <c r="J20" s="44" t="s">
        <v>76</v>
      </c>
      <c r="K20" s="44" t="s">
        <v>77</v>
      </c>
      <c r="L20" s="46">
        <f t="shared" si="8"/>
        <v>0</v>
      </c>
      <c r="M20" s="41">
        <v>0.6</v>
      </c>
      <c r="N20" s="41" t="e">
        <f t="shared" si="16"/>
        <v>#DIV/0!</v>
      </c>
      <c r="O20" s="41" t="e">
        <f t="shared" si="17"/>
        <v>#DIV/0!</v>
      </c>
      <c r="P20" s="46">
        <f t="shared" si="9"/>
        <v>0</v>
      </c>
      <c r="Q20" s="46">
        <v>387230</v>
      </c>
      <c r="R20" s="47" t="e">
        <f t="shared" si="18"/>
        <v>#DIV/0!</v>
      </c>
      <c r="S20" s="43">
        <v>2</v>
      </c>
      <c r="T20" s="48">
        <f t="shared" si="19"/>
        <v>1.8097590579242311</v>
      </c>
      <c r="U20" s="49">
        <f t="shared" si="20"/>
        <v>0.90487952896211554</v>
      </c>
      <c r="V20" s="46">
        <f t="shared" si="10"/>
        <v>0</v>
      </c>
      <c r="W20" s="46">
        <v>700793</v>
      </c>
      <c r="X20" s="49" t="e">
        <f t="shared" si="21"/>
        <v>#DIV/0!</v>
      </c>
      <c r="Y20" s="46">
        <f t="shared" si="11"/>
        <v>0</v>
      </c>
      <c r="Z20" s="46">
        <v>3454</v>
      </c>
      <c r="AA20" s="49" t="e">
        <f t="shared" si="22"/>
        <v>#DIV/0!</v>
      </c>
      <c r="AB20" s="50">
        <v>3.0000000000000001E-3</v>
      </c>
      <c r="AC20" s="50">
        <f t="shared" si="12"/>
        <v>4.9287021987947941E-3</v>
      </c>
      <c r="AD20" s="49">
        <f t="shared" si="23"/>
        <v>1.6429007329315979</v>
      </c>
      <c r="AE20" s="46">
        <f t="shared" si="13"/>
        <v>0</v>
      </c>
      <c r="AF20" s="46">
        <v>227668</v>
      </c>
      <c r="AG20" s="49" t="e">
        <f t="shared" si="24"/>
        <v>#DIV/0!</v>
      </c>
      <c r="AH20" s="41">
        <v>0.35</v>
      </c>
      <c r="AI20" s="51">
        <f t="shared" si="14"/>
        <v>0.32487196647226785</v>
      </c>
      <c r="AJ20" s="49">
        <f t="shared" si="25"/>
        <v>0.92820561849219396</v>
      </c>
      <c r="AK20" s="46" t="s">
        <v>68</v>
      </c>
      <c r="AL20" s="52">
        <v>0.4</v>
      </c>
      <c r="AM20" s="52">
        <f t="shared" si="26"/>
        <v>0.27818706669360649</v>
      </c>
      <c r="AN20" s="49">
        <f t="shared" si="27"/>
        <v>0.69546766673401617</v>
      </c>
      <c r="AO20" s="53">
        <f t="shared" si="15"/>
        <v>0</v>
      </c>
      <c r="AP20" s="53">
        <v>63334.293100000003</v>
      </c>
      <c r="AQ20" s="49" t="e">
        <f t="shared" si="28"/>
        <v>#DIV/0!</v>
      </c>
      <c r="AR20" s="50">
        <v>3.5000000000000003E-2</v>
      </c>
      <c r="AS20" s="50">
        <f t="shared" si="29"/>
        <v>3.5000000007894577E-2</v>
      </c>
      <c r="AT20" s="49">
        <f t="shared" si="30"/>
        <v>1.0000000002255593</v>
      </c>
      <c r="AU20" s="53">
        <f t="shared" si="31"/>
        <v>0</v>
      </c>
      <c r="AV20" s="53">
        <f t="shared" si="32"/>
        <v>2216.7002589999975</v>
      </c>
      <c r="AW20" s="49" t="e">
        <f t="shared" si="33"/>
        <v>#DIV/0!</v>
      </c>
      <c r="AX20" s="54">
        <f t="shared" si="34"/>
        <v>0</v>
      </c>
      <c r="AY20" s="54">
        <v>65550.993359</v>
      </c>
      <c r="AZ20" s="49" t="e">
        <f t="shared" si="35"/>
        <v>#DIV/0!</v>
      </c>
    </row>
    <row r="21" spans="1:52" ht="25.5" x14ac:dyDescent="0.25">
      <c r="B21" s="42" t="s">
        <v>69</v>
      </c>
      <c r="C21" s="43" t="s">
        <v>52</v>
      </c>
      <c r="D21" s="44" t="s">
        <v>70</v>
      </c>
      <c r="E21" s="44" t="s">
        <v>71</v>
      </c>
      <c r="F21" s="45" t="s">
        <v>72</v>
      </c>
      <c r="G21" s="43" t="s">
        <v>73</v>
      </c>
      <c r="H21" s="29" t="s">
        <v>89</v>
      </c>
      <c r="I21" s="44" t="s">
        <v>75</v>
      </c>
      <c r="J21" s="44" t="s">
        <v>76</v>
      </c>
      <c r="K21" s="44" t="s">
        <v>77</v>
      </c>
      <c r="L21" s="46">
        <f t="shared" si="8"/>
        <v>0</v>
      </c>
      <c r="M21" s="41">
        <v>0.6</v>
      </c>
      <c r="N21" s="41" t="e">
        <f t="shared" si="16"/>
        <v>#DIV/0!</v>
      </c>
      <c r="O21" s="41" t="e">
        <f t="shared" si="17"/>
        <v>#DIV/0!</v>
      </c>
      <c r="P21" s="46">
        <f t="shared" si="9"/>
        <v>0</v>
      </c>
      <c r="Q21" s="46">
        <v>241336</v>
      </c>
      <c r="R21" s="47" t="e">
        <f t="shared" si="18"/>
        <v>#DIV/0!</v>
      </c>
      <c r="S21" s="43">
        <v>2</v>
      </c>
      <c r="T21" s="48">
        <f t="shared" si="19"/>
        <v>2.0768182119534591</v>
      </c>
      <c r="U21" s="49">
        <f t="shared" si="20"/>
        <v>1.0384091059767295</v>
      </c>
      <c r="V21" s="46">
        <f t="shared" si="10"/>
        <v>0</v>
      </c>
      <c r="W21" s="46">
        <v>501211</v>
      </c>
      <c r="X21" s="49" t="e">
        <f t="shared" si="21"/>
        <v>#DIV/0!</v>
      </c>
      <c r="Y21" s="46">
        <f t="shared" si="11"/>
        <v>0</v>
      </c>
      <c r="Z21" s="46">
        <v>2424</v>
      </c>
      <c r="AA21" s="49" t="e">
        <f t="shared" si="22"/>
        <v>#DIV/0!</v>
      </c>
      <c r="AB21" s="50">
        <v>3.0000000000000001E-3</v>
      </c>
      <c r="AC21" s="50">
        <f t="shared" si="12"/>
        <v>4.8362865140629393E-3</v>
      </c>
      <c r="AD21" s="49">
        <f t="shared" si="23"/>
        <v>1.6120955046876464</v>
      </c>
      <c r="AE21" s="46">
        <f t="shared" si="13"/>
        <v>0</v>
      </c>
      <c r="AF21" s="46">
        <v>139253</v>
      </c>
      <c r="AG21" s="49" t="e">
        <f t="shared" si="24"/>
        <v>#DIV/0!</v>
      </c>
      <c r="AH21" s="41">
        <v>0.35</v>
      </c>
      <c r="AI21" s="51">
        <f t="shared" si="14"/>
        <v>0.27783308826023373</v>
      </c>
      <c r="AJ21" s="49">
        <f t="shared" si="25"/>
        <v>0.79380882360066785</v>
      </c>
      <c r="AK21" s="46" t="s">
        <v>68</v>
      </c>
      <c r="AL21" s="52">
        <v>0.4</v>
      </c>
      <c r="AM21" s="52">
        <f t="shared" si="26"/>
        <v>0.26428331781002923</v>
      </c>
      <c r="AN21" s="49">
        <f t="shared" si="27"/>
        <v>0.66070829452507307</v>
      </c>
      <c r="AO21" s="53">
        <f t="shared" si="15"/>
        <v>0</v>
      </c>
      <c r="AP21" s="53">
        <v>36802.244854999997</v>
      </c>
      <c r="AQ21" s="49" t="e">
        <f t="shared" si="28"/>
        <v>#DIV/0!</v>
      </c>
      <c r="AR21" s="50">
        <v>3.5000000000000003E-2</v>
      </c>
      <c r="AS21" s="50">
        <f t="shared" si="29"/>
        <v>3.5000000002038061E-2</v>
      </c>
      <c r="AT21" s="49">
        <f t="shared" si="30"/>
        <v>1.0000000000582303</v>
      </c>
      <c r="AU21" s="53">
        <f t="shared" si="31"/>
        <v>0</v>
      </c>
      <c r="AV21" s="53">
        <f t="shared" si="32"/>
        <v>1288.0785700000051</v>
      </c>
      <c r="AW21" s="49" t="e">
        <f t="shared" si="33"/>
        <v>#DIV/0!</v>
      </c>
      <c r="AX21" s="54">
        <f t="shared" si="34"/>
        <v>0</v>
      </c>
      <c r="AY21" s="54">
        <v>38090.323425000002</v>
      </c>
      <c r="AZ21" s="49" t="e">
        <f t="shared" si="35"/>
        <v>#DIV/0!</v>
      </c>
    </row>
    <row r="22" spans="1:52" ht="25.5" x14ac:dyDescent="0.25">
      <c r="B22" s="42" t="s">
        <v>69</v>
      </c>
      <c r="C22" s="43" t="s">
        <v>52</v>
      </c>
      <c r="D22" s="44" t="s">
        <v>70</v>
      </c>
      <c r="E22" s="44" t="s">
        <v>71</v>
      </c>
      <c r="F22" s="45" t="s">
        <v>72</v>
      </c>
      <c r="G22" s="43" t="s">
        <v>73</v>
      </c>
      <c r="H22" s="29" t="s">
        <v>90</v>
      </c>
      <c r="I22" s="44" t="s">
        <v>75</v>
      </c>
      <c r="J22" s="44" t="s">
        <v>76</v>
      </c>
      <c r="K22" s="44" t="s">
        <v>77</v>
      </c>
      <c r="L22" s="46">
        <f t="shared" si="8"/>
        <v>0</v>
      </c>
      <c r="M22" s="41">
        <v>0.6</v>
      </c>
      <c r="N22" s="41" t="e">
        <f t="shared" si="16"/>
        <v>#DIV/0!</v>
      </c>
      <c r="O22" s="41" t="e">
        <f t="shared" si="17"/>
        <v>#DIV/0!</v>
      </c>
      <c r="P22" s="46">
        <f t="shared" si="9"/>
        <v>0</v>
      </c>
      <c r="Q22" s="46">
        <v>281584</v>
      </c>
      <c r="R22" s="47" t="e">
        <f t="shared" si="18"/>
        <v>#DIV/0!</v>
      </c>
      <c r="S22" s="43">
        <v>2</v>
      </c>
      <c r="T22" s="48">
        <f t="shared" si="19"/>
        <v>1.9832305812830275</v>
      </c>
      <c r="U22" s="49">
        <f t="shared" si="20"/>
        <v>0.99161529064151377</v>
      </c>
      <c r="V22" s="46">
        <f t="shared" si="10"/>
        <v>0</v>
      </c>
      <c r="W22" s="46">
        <v>558446</v>
      </c>
      <c r="X22" s="49" t="e">
        <f t="shared" si="21"/>
        <v>#DIV/0!</v>
      </c>
      <c r="Y22" s="46">
        <f t="shared" si="11"/>
        <v>0</v>
      </c>
      <c r="Z22" s="46">
        <v>3136</v>
      </c>
      <c r="AA22" s="49" t="e">
        <f t="shared" si="22"/>
        <v>#DIV/0!</v>
      </c>
      <c r="AB22" s="50">
        <v>3.0000000000000001E-3</v>
      </c>
      <c r="AC22" s="50">
        <f t="shared" si="12"/>
        <v>5.6155832435007148E-3</v>
      </c>
      <c r="AD22" s="49">
        <f t="shared" si="23"/>
        <v>1.871861081166905</v>
      </c>
      <c r="AE22" s="46">
        <f t="shared" si="13"/>
        <v>0</v>
      </c>
      <c r="AF22" s="46">
        <v>182568</v>
      </c>
      <c r="AG22" s="49" t="e">
        <f t="shared" si="24"/>
        <v>#DIV/0!</v>
      </c>
      <c r="AH22" s="41">
        <v>0.35</v>
      </c>
      <c r="AI22" s="51">
        <f t="shared" si="14"/>
        <v>0.32692149285696381</v>
      </c>
      <c r="AJ22" s="49">
        <f t="shared" si="25"/>
        <v>0.93406140816275385</v>
      </c>
      <c r="AK22" s="46" t="s">
        <v>68</v>
      </c>
      <c r="AL22" s="52">
        <v>0.4</v>
      </c>
      <c r="AM22" s="52">
        <f t="shared" si="26"/>
        <v>0.26975228900464487</v>
      </c>
      <c r="AN22" s="49">
        <f t="shared" si="27"/>
        <v>0.67438072251161219</v>
      </c>
      <c r="AO22" s="53">
        <f t="shared" si="15"/>
        <v>0</v>
      </c>
      <c r="AP22" s="53">
        <v>49248.135899000001</v>
      </c>
      <c r="AQ22" s="49" t="e">
        <f t="shared" si="28"/>
        <v>#DIV/0!</v>
      </c>
      <c r="AR22" s="50">
        <v>3.5000000000000003E-2</v>
      </c>
      <c r="AS22" s="50">
        <f t="shared" si="29"/>
        <v>3.4999999990558063E-2</v>
      </c>
      <c r="AT22" s="49">
        <f t="shared" si="30"/>
        <v>0.99999999973023024</v>
      </c>
      <c r="AU22" s="53">
        <f t="shared" si="31"/>
        <v>0</v>
      </c>
      <c r="AV22" s="53">
        <f t="shared" si="32"/>
        <v>1723.6847560000024</v>
      </c>
      <c r="AW22" s="49" t="e">
        <f t="shared" si="33"/>
        <v>#DIV/0!</v>
      </c>
      <c r="AX22" s="54">
        <f t="shared" si="34"/>
        <v>0</v>
      </c>
      <c r="AY22" s="54">
        <v>50971.820655000003</v>
      </c>
      <c r="AZ22" s="49" t="e">
        <f t="shared" si="35"/>
        <v>#DIV/0!</v>
      </c>
    </row>
    <row r="23" spans="1:52" ht="25.5" x14ac:dyDescent="0.25">
      <c r="B23" s="42" t="s">
        <v>69</v>
      </c>
      <c r="C23" s="43" t="s">
        <v>52</v>
      </c>
      <c r="D23" s="44" t="s">
        <v>70</v>
      </c>
      <c r="E23" s="44" t="s">
        <v>71</v>
      </c>
      <c r="F23" s="45" t="s">
        <v>72</v>
      </c>
      <c r="G23" s="43" t="s">
        <v>73</v>
      </c>
      <c r="H23" s="29" t="s">
        <v>91</v>
      </c>
      <c r="I23" s="44" t="s">
        <v>75</v>
      </c>
      <c r="J23" s="44" t="s">
        <v>76</v>
      </c>
      <c r="K23" s="44" t="s">
        <v>77</v>
      </c>
      <c r="L23" s="46">
        <f t="shared" si="8"/>
        <v>0</v>
      </c>
      <c r="M23" s="41">
        <v>0.6</v>
      </c>
      <c r="N23" s="41" t="e">
        <f t="shared" si="16"/>
        <v>#DIV/0!</v>
      </c>
      <c r="O23" s="41" t="e">
        <f t="shared" si="17"/>
        <v>#DIV/0!</v>
      </c>
      <c r="P23" s="46">
        <f t="shared" si="9"/>
        <v>0</v>
      </c>
      <c r="Q23" s="46">
        <v>235818</v>
      </c>
      <c r="R23" s="47" t="e">
        <f t="shared" si="18"/>
        <v>#DIV/0!</v>
      </c>
      <c r="S23" s="43">
        <v>2</v>
      </c>
      <c r="T23" s="48">
        <f t="shared" si="19"/>
        <v>2.080570609537864</v>
      </c>
      <c r="U23" s="49">
        <f t="shared" si="20"/>
        <v>1.040285304768932</v>
      </c>
      <c r="V23" s="46">
        <f t="shared" si="10"/>
        <v>0</v>
      </c>
      <c r="W23" s="46">
        <v>490636</v>
      </c>
      <c r="X23" s="49" t="e">
        <f t="shared" si="21"/>
        <v>#DIV/0!</v>
      </c>
      <c r="Y23" s="46">
        <f t="shared" si="11"/>
        <v>0</v>
      </c>
      <c r="Z23" s="46">
        <v>2634</v>
      </c>
      <c r="AA23" s="49" t="e">
        <f t="shared" si="22"/>
        <v>#DIV/0!</v>
      </c>
      <c r="AB23" s="50">
        <v>3.0000000000000001E-3</v>
      </c>
      <c r="AC23" s="50">
        <f t="shared" si="12"/>
        <v>5.3685420556176065E-3</v>
      </c>
      <c r="AD23" s="49">
        <f t="shared" si="23"/>
        <v>1.7895140185392022</v>
      </c>
      <c r="AE23" s="46">
        <f t="shared" si="13"/>
        <v>0</v>
      </c>
      <c r="AF23" s="46">
        <v>145529</v>
      </c>
      <c r="AG23" s="49" t="e">
        <f t="shared" si="24"/>
        <v>#DIV/0!</v>
      </c>
      <c r="AH23" s="41">
        <v>0.35</v>
      </c>
      <c r="AI23" s="51">
        <f t="shared" si="14"/>
        <v>0.29661296765830475</v>
      </c>
      <c r="AJ23" s="49">
        <f t="shared" si="25"/>
        <v>0.84746562188087071</v>
      </c>
      <c r="AK23" s="46" t="s">
        <v>68</v>
      </c>
      <c r="AL23" s="52">
        <v>0.4</v>
      </c>
      <c r="AM23" s="52">
        <f t="shared" si="26"/>
        <v>0.27819936676538692</v>
      </c>
      <c r="AN23" s="49">
        <f t="shared" si="27"/>
        <v>0.69549841691346725</v>
      </c>
      <c r="AO23" s="53">
        <f t="shared" si="15"/>
        <v>0</v>
      </c>
      <c r="AP23" s="53">
        <v>40486.075645999998</v>
      </c>
      <c r="AQ23" s="49" t="e">
        <f t="shared" si="28"/>
        <v>#DIV/0!</v>
      </c>
      <c r="AR23" s="50">
        <v>3.5000000000000003E-2</v>
      </c>
      <c r="AS23" s="50">
        <f t="shared" si="29"/>
        <v>3.5000000009633034E-2</v>
      </c>
      <c r="AT23" s="49">
        <f t="shared" si="30"/>
        <v>1.0000000002752294</v>
      </c>
      <c r="AU23" s="53">
        <f t="shared" si="31"/>
        <v>0</v>
      </c>
      <c r="AV23" s="53">
        <f t="shared" si="32"/>
        <v>1417.0126480000035</v>
      </c>
      <c r="AW23" s="49" t="e">
        <f t="shared" si="33"/>
        <v>#DIV/0!</v>
      </c>
      <c r="AX23" s="54">
        <f t="shared" si="34"/>
        <v>0</v>
      </c>
      <c r="AY23" s="54">
        <v>41903.088294000001</v>
      </c>
      <c r="AZ23" s="49" t="e">
        <f t="shared" si="35"/>
        <v>#DIV/0!</v>
      </c>
    </row>
    <row r="24" spans="1:52" ht="63.75" customHeight="1" x14ac:dyDescent="0.25">
      <c r="B24" s="42" t="s">
        <v>69</v>
      </c>
      <c r="C24" s="43" t="s">
        <v>52</v>
      </c>
      <c r="D24" s="44" t="s">
        <v>70</v>
      </c>
      <c r="E24" s="44" t="s">
        <v>71</v>
      </c>
      <c r="F24" s="45" t="s">
        <v>72</v>
      </c>
      <c r="G24" s="43" t="s">
        <v>73</v>
      </c>
      <c r="H24" s="29" t="s">
        <v>92</v>
      </c>
      <c r="I24" s="44" t="s">
        <v>75</v>
      </c>
      <c r="J24" s="44" t="s">
        <v>76</v>
      </c>
      <c r="K24" s="44" t="s">
        <v>77</v>
      </c>
      <c r="L24" s="46">
        <f t="shared" si="8"/>
        <v>0</v>
      </c>
      <c r="M24" s="41">
        <v>0.6</v>
      </c>
      <c r="N24" s="41" t="e">
        <f t="shared" si="16"/>
        <v>#DIV/0!</v>
      </c>
      <c r="O24" s="41" t="e">
        <f t="shared" si="17"/>
        <v>#DIV/0!</v>
      </c>
      <c r="P24" s="46">
        <f t="shared" si="9"/>
        <v>0</v>
      </c>
      <c r="Q24" s="46">
        <v>202992</v>
      </c>
      <c r="R24" s="47" t="e">
        <f t="shared" si="18"/>
        <v>#DIV/0!</v>
      </c>
      <c r="S24" s="43">
        <v>2</v>
      </c>
      <c r="T24" s="48">
        <f t="shared" si="19"/>
        <v>1.9932066288326633</v>
      </c>
      <c r="U24" s="49">
        <f t="shared" si="20"/>
        <v>0.99660331441633165</v>
      </c>
      <c r="V24" s="46">
        <f t="shared" si="10"/>
        <v>0</v>
      </c>
      <c r="W24" s="46">
        <v>404605</v>
      </c>
      <c r="X24" s="49" t="e">
        <f t="shared" si="21"/>
        <v>#DIV/0!</v>
      </c>
      <c r="Y24" s="46">
        <f t="shared" si="11"/>
        <v>0</v>
      </c>
      <c r="Z24" s="46">
        <v>2080</v>
      </c>
      <c r="AA24" s="49" t="e">
        <f t="shared" si="22"/>
        <v>#DIV/0!</v>
      </c>
      <c r="AB24" s="50">
        <v>3.0000000000000001E-3</v>
      </c>
      <c r="AC24" s="50">
        <f t="shared" si="12"/>
        <v>5.1408163517504728E-3</v>
      </c>
      <c r="AD24" s="49">
        <f t="shared" si="23"/>
        <v>1.713605450583491</v>
      </c>
      <c r="AE24" s="46">
        <f t="shared" si="13"/>
        <v>0</v>
      </c>
      <c r="AF24" s="46">
        <v>124572</v>
      </c>
      <c r="AG24" s="49" t="e">
        <f t="shared" si="24"/>
        <v>#DIV/0!</v>
      </c>
      <c r="AH24" s="41">
        <v>0.35</v>
      </c>
      <c r="AI24" s="51">
        <f t="shared" si="14"/>
        <v>0.30788546854339416</v>
      </c>
      <c r="AJ24" s="49">
        <f t="shared" si="25"/>
        <v>0.87967276726684052</v>
      </c>
      <c r="AK24" s="46" t="s">
        <v>68</v>
      </c>
      <c r="AL24" s="52">
        <v>0.4</v>
      </c>
      <c r="AM24" s="52">
        <f t="shared" si="26"/>
        <v>0.27343798270879488</v>
      </c>
      <c r="AN24" s="49">
        <f t="shared" si="27"/>
        <v>0.68359495677198712</v>
      </c>
      <c r="AO24" s="53">
        <f t="shared" si="15"/>
        <v>0</v>
      </c>
      <c r="AP24" s="53">
        <v>34062.716381999999</v>
      </c>
      <c r="AQ24" s="49" t="e">
        <f t="shared" si="28"/>
        <v>#DIV/0!</v>
      </c>
      <c r="AR24" s="50">
        <v>3.5000000000000003E-2</v>
      </c>
      <c r="AS24" s="50">
        <f t="shared" si="29"/>
        <v>3.4999999989137762E-2</v>
      </c>
      <c r="AT24" s="49">
        <f t="shared" si="30"/>
        <v>0.99999999968965025</v>
      </c>
      <c r="AU24" s="53">
        <f t="shared" si="31"/>
        <v>0</v>
      </c>
      <c r="AV24" s="53">
        <f t="shared" si="32"/>
        <v>1192.1950730000026</v>
      </c>
      <c r="AW24" s="49" t="e">
        <f t="shared" si="33"/>
        <v>#DIV/0!</v>
      </c>
      <c r="AX24" s="54">
        <f t="shared" si="34"/>
        <v>0</v>
      </c>
      <c r="AY24" s="54">
        <v>35254.911455000001</v>
      </c>
      <c r="AZ24" s="49" t="e">
        <f t="shared" si="35"/>
        <v>#DIV/0!</v>
      </c>
    </row>
    <row r="25" spans="1:52" ht="25.5" x14ac:dyDescent="0.25">
      <c r="B25" s="42" t="s">
        <v>69</v>
      </c>
      <c r="C25" s="43" t="s">
        <v>52</v>
      </c>
      <c r="D25" s="44" t="s">
        <v>70</v>
      </c>
      <c r="E25" s="44" t="s">
        <v>71</v>
      </c>
      <c r="F25" s="45" t="s">
        <v>72</v>
      </c>
      <c r="G25" s="43" t="s">
        <v>73</v>
      </c>
      <c r="H25" s="29" t="s">
        <v>93</v>
      </c>
      <c r="I25" s="44" t="s">
        <v>75</v>
      </c>
      <c r="J25" s="44" t="s">
        <v>76</v>
      </c>
      <c r="K25" s="44" t="s">
        <v>77</v>
      </c>
      <c r="L25" s="46">
        <f t="shared" si="8"/>
        <v>0</v>
      </c>
      <c r="M25" s="41">
        <v>0.6</v>
      </c>
      <c r="N25" s="41" t="e">
        <f t="shared" si="16"/>
        <v>#DIV/0!</v>
      </c>
      <c r="O25" s="41" t="e">
        <f t="shared" si="17"/>
        <v>#DIV/0!</v>
      </c>
      <c r="P25" s="46">
        <f t="shared" si="9"/>
        <v>0</v>
      </c>
      <c r="Q25" s="46">
        <v>158463</v>
      </c>
      <c r="R25" s="47" t="e">
        <f t="shared" si="18"/>
        <v>#DIV/0!</v>
      </c>
      <c r="S25" s="43">
        <v>2</v>
      </c>
      <c r="T25" s="48">
        <f t="shared" si="19"/>
        <v>2.1894133015278014</v>
      </c>
      <c r="U25" s="49">
        <f t="shared" si="20"/>
        <v>1.0947066507639007</v>
      </c>
      <c r="V25" s="46">
        <f t="shared" si="10"/>
        <v>0</v>
      </c>
      <c r="W25" s="46">
        <v>346941</v>
      </c>
      <c r="X25" s="49" t="e">
        <f t="shared" si="21"/>
        <v>#DIV/0!</v>
      </c>
      <c r="Y25" s="46">
        <f t="shared" si="11"/>
        <v>0</v>
      </c>
      <c r="Z25" s="46">
        <v>1635</v>
      </c>
      <c r="AA25" s="49" t="e">
        <f t="shared" si="22"/>
        <v>#DIV/0!</v>
      </c>
      <c r="AB25" s="50">
        <v>3.0000000000000001E-3</v>
      </c>
      <c r="AC25" s="50">
        <f t="shared" si="12"/>
        <v>4.7126168426331857E-3</v>
      </c>
      <c r="AD25" s="49">
        <f t="shared" si="23"/>
        <v>1.5708722808777285</v>
      </c>
      <c r="AE25" s="46">
        <f t="shared" si="13"/>
        <v>0</v>
      </c>
      <c r="AF25" s="46">
        <v>118653</v>
      </c>
      <c r="AG25" s="49" t="e">
        <f t="shared" si="24"/>
        <v>#DIV/0!</v>
      </c>
      <c r="AH25" s="41">
        <v>0.35</v>
      </c>
      <c r="AI25" s="51">
        <f t="shared" si="14"/>
        <v>0.34199763072107359</v>
      </c>
      <c r="AJ25" s="49">
        <f t="shared" si="25"/>
        <v>0.97713608777449601</v>
      </c>
      <c r="AK25" s="46" t="s">
        <v>68</v>
      </c>
      <c r="AL25" s="52">
        <v>0.4</v>
      </c>
      <c r="AM25" s="52">
        <f t="shared" si="26"/>
        <v>0.26560102695254229</v>
      </c>
      <c r="AN25" s="49">
        <f t="shared" si="27"/>
        <v>0.66400256738135566</v>
      </c>
      <c r="AO25" s="53">
        <f t="shared" si="15"/>
        <v>0</v>
      </c>
      <c r="AP25" s="53">
        <v>31514.358650999999</v>
      </c>
      <c r="AQ25" s="49" t="e">
        <f t="shared" si="28"/>
        <v>#DIV/0!</v>
      </c>
      <c r="AR25" s="50">
        <v>3.5000000000000003E-2</v>
      </c>
      <c r="AS25" s="50">
        <f t="shared" si="29"/>
        <v>3.5000000006822352E-2</v>
      </c>
      <c r="AT25" s="49">
        <f t="shared" si="30"/>
        <v>1.0000000001949243</v>
      </c>
      <c r="AU25" s="53">
        <f t="shared" si="31"/>
        <v>0</v>
      </c>
      <c r="AV25" s="53">
        <f t="shared" si="32"/>
        <v>1103.0025530000021</v>
      </c>
      <c r="AW25" s="49" t="e">
        <f t="shared" si="33"/>
        <v>#DIV/0!</v>
      </c>
      <c r="AX25" s="54">
        <f t="shared" si="34"/>
        <v>0</v>
      </c>
      <c r="AY25" s="54">
        <v>32617.361204000001</v>
      </c>
      <c r="AZ25" s="49" t="e">
        <f t="shared" si="35"/>
        <v>#DIV/0!</v>
      </c>
    </row>
    <row r="26" spans="1:52" ht="25.5" customHeight="1" x14ac:dyDescent="0.25">
      <c r="B26" s="42" t="s">
        <v>69</v>
      </c>
      <c r="C26" s="43" t="s">
        <v>52</v>
      </c>
      <c r="D26" s="44" t="s">
        <v>70</v>
      </c>
      <c r="E26" s="44" t="s">
        <v>71</v>
      </c>
      <c r="F26" s="45" t="s">
        <v>72</v>
      </c>
      <c r="G26" s="43" t="s">
        <v>73</v>
      </c>
      <c r="H26" s="29" t="s">
        <v>94</v>
      </c>
      <c r="I26" s="44" t="s">
        <v>75</v>
      </c>
      <c r="J26" s="44" t="s">
        <v>76</v>
      </c>
      <c r="K26" s="44" t="s">
        <v>77</v>
      </c>
      <c r="L26" s="46">
        <f t="shared" si="8"/>
        <v>0</v>
      </c>
      <c r="M26" s="41">
        <v>0.6</v>
      </c>
      <c r="N26" s="41" t="e">
        <f t="shared" si="16"/>
        <v>#DIV/0!</v>
      </c>
      <c r="O26" s="41" t="e">
        <f t="shared" si="17"/>
        <v>#DIV/0!</v>
      </c>
      <c r="P26" s="46">
        <f t="shared" si="9"/>
        <v>0</v>
      </c>
      <c r="Q26" s="46">
        <v>153931</v>
      </c>
      <c r="R26" s="47" t="e">
        <f t="shared" si="18"/>
        <v>#DIV/0!</v>
      </c>
      <c r="S26" s="43">
        <v>2</v>
      </c>
      <c r="T26" s="48">
        <f t="shared" si="19"/>
        <v>1.7887300153965089</v>
      </c>
      <c r="U26" s="49">
        <f t="shared" si="20"/>
        <v>0.89436500769825444</v>
      </c>
      <c r="V26" s="46">
        <f t="shared" si="10"/>
        <v>0</v>
      </c>
      <c r="W26" s="46">
        <v>275341</v>
      </c>
      <c r="X26" s="49" t="e">
        <f t="shared" si="21"/>
        <v>#DIV/0!</v>
      </c>
      <c r="Y26" s="46">
        <f t="shared" si="11"/>
        <v>0</v>
      </c>
      <c r="Z26" s="46">
        <v>1510</v>
      </c>
      <c r="AA26" s="49" t="e">
        <f t="shared" si="22"/>
        <v>#DIV/0!</v>
      </c>
      <c r="AB26" s="50">
        <v>3.0000000000000001E-3</v>
      </c>
      <c r="AC26" s="50">
        <f t="shared" si="12"/>
        <v>5.4841087960020487E-3</v>
      </c>
      <c r="AD26" s="49">
        <f t="shared" si="23"/>
        <v>1.8280362653340161</v>
      </c>
      <c r="AE26" s="46">
        <f t="shared" si="13"/>
        <v>0</v>
      </c>
      <c r="AF26" s="46">
        <v>82969</v>
      </c>
      <c r="AG26" s="49" t="e">
        <f t="shared" si="24"/>
        <v>#DIV/0!</v>
      </c>
      <c r="AH26" s="41">
        <v>0.35</v>
      </c>
      <c r="AI26" s="51">
        <f t="shared" si="14"/>
        <v>0.30133180310959862</v>
      </c>
      <c r="AJ26" s="49">
        <f t="shared" si="25"/>
        <v>0.86094800888456757</v>
      </c>
      <c r="AK26" s="46" t="s">
        <v>68</v>
      </c>
      <c r="AL26" s="52">
        <v>0.4</v>
      </c>
      <c r="AM26" s="52">
        <f t="shared" si="26"/>
        <v>0.31189568460509348</v>
      </c>
      <c r="AN26" s="49">
        <f t="shared" si="27"/>
        <v>0.77973921151273362</v>
      </c>
      <c r="AO26" s="53">
        <f t="shared" si="15"/>
        <v>0</v>
      </c>
      <c r="AP26" s="53">
        <v>25877.673056</v>
      </c>
      <c r="AQ26" s="49" t="e">
        <f t="shared" si="28"/>
        <v>#DIV/0!</v>
      </c>
      <c r="AR26" s="50">
        <v>3.5000000000000003E-2</v>
      </c>
      <c r="AS26" s="50">
        <f t="shared" si="29"/>
        <v>3.5000000001545739E-2</v>
      </c>
      <c r="AT26" s="49">
        <f t="shared" si="30"/>
        <v>1.0000000000441638</v>
      </c>
      <c r="AU26" s="53">
        <f t="shared" si="31"/>
        <v>0</v>
      </c>
      <c r="AV26" s="53">
        <f t="shared" si="32"/>
        <v>905.71855700000015</v>
      </c>
      <c r="AW26" s="49" t="e">
        <f t="shared" si="33"/>
        <v>#DIV/0!</v>
      </c>
      <c r="AX26" s="54">
        <f t="shared" si="34"/>
        <v>0</v>
      </c>
      <c r="AY26" s="54">
        <v>26783.391613</v>
      </c>
      <c r="AZ26" s="49" t="e">
        <f t="shared" si="35"/>
        <v>#DIV/0!</v>
      </c>
    </row>
    <row r="27" spans="1:52" ht="25.5" x14ac:dyDescent="0.25">
      <c r="B27" s="42" t="s">
        <v>69</v>
      </c>
      <c r="C27" s="43" t="s">
        <v>52</v>
      </c>
      <c r="D27" s="44" t="s">
        <v>70</v>
      </c>
      <c r="E27" s="44" t="s">
        <v>71</v>
      </c>
      <c r="F27" s="45" t="s">
        <v>72</v>
      </c>
      <c r="G27" s="43" t="s">
        <v>73</v>
      </c>
      <c r="H27" s="29" t="s">
        <v>95</v>
      </c>
      <c r="I27" s="44" t="s">
        <v>75</v>
      </c>
      <c r="J27" s="44" t="s">
        <v>76</v>
      </c>
      <c r="K27" s="44" t="s">
        <v>77</v>
      </c>
      <c r="L27" s="46">
        <f t="shared" si="8"/>
        <v>0</v>
      </c>
      <c r="M27" s="41">
        <v>0.6</v>
      </c>
      <c r="N27" s="41" t="e">
        <f t="shared" si="16"/>
        <v>#DIV/0!</v>
      </c>
      <c r="O27" s="41" t="e">
        <f t="shared" si="17"/>
        <v>#DIV/0!</v>
      </c>
      <c r="P27" s="46">
        <f t="shared" si="9"/>
        <v>0</v>
      </c>
      <c r="Q27" s="46">
        <v>170925</v>
      </c>
      <c r="R27" s="47" t="e">
        <f t="shared" si="18"/>
        <v>#DIV/0!</v>
      </c>
      <c r="S27" s="43">
        <v>2</v>
      </c>
      <c r="T27" s="48">
        <f t="shared" si="19"/>
        <v>1.8894017844083661</v>
      </c>
      <c r="U27" s="49">
        <f t="shared" si="20"/>
        <v>0.94470089220418307</v>
      </c>
      <c r="V27" s="46">
        <f t="shared" si="10"/>
        <v>0</v>
      </c>
      <c r="W27" s="46">
        <v>322946</v>
      </c>
      <c r="X27" s="49" t="e">
        <f t="shared" si="21"/>
        <v>#DIV/0!</v>
      </c>
      <c r="Y27" s="46">
        <f t="shared" si="11"/>
        <v>0</v>
      </c>
      <c r="Z27" s="46">
        <v>1749</v>
      </c>
      <c r="AA27" s="49" t="e">
        <f t="shared" si="22"/>
        <v>#DIV/0!</v>
      </c>
      <c r="AB27" s="50">
        <v>3.0000000000000001E-3</v>
      </c>
      <c r="AC27" s="50">
        <f t="shared" si="12"/>
        <v>5.4157661033113896E-3</v>
      </c>
      <c r="AD27" s="49">
        <f t="shared" si="23"/>
        <v>1.8052553677704632</v>
      </c>
      <c r="AE27" s="46">
        <f t="shared" si="13"/>
        <v>0</v>
      </c>
      <c r="AF27" s="46">
        <v>106632</v>
      </c>
      <c r="AG27" s="49" t="e">
        <f t="shared" si="24"/>
        <v>#DIV/0!</v>
      </c>
      <c r="AH27" s="41">
        <v>0.35</v>
      </c>
      <c r="AI27" s="51">
        <f t="shared" si="14"/>
        <v>0.33018523220600349</v>
      </c>
      <c r="AJ27" s="49">
        <f t="shared" si="25"/>
        <v>0.94338637773143863</v>
      </c>
      <c r="AK27" s="46" t="s">
        <v>68</v>
      </c>
      <c r="AL27" s="52">
        <v>0.4</v>
      </c>
      <c r="AM27" s="52">
        <f t="shared" si="26"/>
        <v>0.26712134133280818</v>
      </c>
      <c r="AN27" s="49">
        <f t="shared" si="27"/>
        <v>0.66780335333202046</v>
      </c>
      <c r="AO27" s="53">
        <f t="shared" si="15"/>
        <v>0</v>
      </c>
      <c r="AP27" s="53">
        <v>28483.682869</v>
      </c>
      <c r="AQ27" s="49" t="e">
        <f t="shared" si="28"/>
        <v>#DIV/0!</v>
      </c>
      <c r="AR27" s="50">
        <v>3.5000000000000003E-2</v>
      </c>
      <c r="AS27" s="50">
        <f t="shared" si="29"/>
        <v>3.5000000020538047E-2</v>
      </c>
      <c r="AT27" s="49">
        <f t="shared" si="30"/>
        <v>1.0000000005868013</v>
      </c>
      <c r="AU27" s="53">
        <f t="shared" si="31"/>
        <v>0</v>
      </c>
      <c r="AV27" s="53">
        <f t="shared" si="32"/>
        <v>996.92890099999931</v>
      </c>
      <c r="AW27" s="49" t="e">
        <f t="shared" si="33"/>
        <v>#DIV/0!</v>
      </c>
      <c r="AX27" s="54">
        <f t="shared" si="34"/>
        <v>0</v>
      </c>
      <c r="AY27" s="54">
        <v>29480.61177</v>
      </c>
      <c r="AZ27" s="49" t="e">
        <f t="shared" si="35"/>
        <v>#DIV/0!</v>
      </c>
    </row>
    <row r="28" spans="1:52" ht="25.5" customHeight="1" x14ac:dyDescent="0.25">
      <c r="B28" s="42" t="s">
        <v>69</v>
      </c>
      <c r="C28" s="43" t="s">
        <v>52</v>
      </c>
      <c r="D28" s="44" t="s">
        <v>70</v>
      </c>
      <c r="E28" s="44" t="s">
        <v>71</v>
      </c>
      <c r="F28" s="45" t="s">
        <v>72</v>
      </c>
      <c r="G28" s="43" t="s">
        <v>73</v>
      </c>
      <c r="H28" s="29" t="s">
        <v>96</v>
      </c>
      <c r="I28" s="44" t="s">
        <v>75</v>
      </c>
      <c r="J28" s="44" t="s">
        <v>76</v>
      </c>
      <c r="K28" s="44" t="s">
        <v>77</v>
      </c>
      <c r="L28" s="46">
        <f t="shared" si="8"/>
        <v>0</v>
      </c>
      <c r="M28" s="41">
        <v>0.6</v>
      </c>
      <c r="N28" s="41" t="e">
        <f t="shared" si="16"/>
        <v>#DIV/0!</v>
      </c>
      <c r="O28" s="41" t="e">
        <f t="shared" si="17"/>
        <v>#DIV/0!</v>
      </c>
      <c r="P28" s="46">
        <f t="shared" si="9"/>
        <v>0</v>
      </c>
      <c r="Q28" s="46">
        <v>166351</v>
      </c>
      <c r="R28" s="47" t="e">
        <f t="shared" si="18"/>
        <v>#DIV/0!</v>
      </c>
      <c r="S28" s="43">
        <v>2</v>
      </c>
      <c r="T28" s="48">
        <f t="shared" si="19"/>
        <v>2.0219415573095443</v>
      </c>
      <c r="U28" s="49">
        <f t="shared" si="20"/>
        <v>1.0109707786547721</v>
      </c>
      <c r="V28" s="46">
        <f t="shared" si="10"/>
        <v>0</v>
      </c>
      <c r="W28" s="46">
        <v>336352</v>
      </c>
      <c r="X28" s="49" t="e">
        <f t="shared" si="21"/>
        <v>#DIV/0!</v>
      </c>
      <c r="Y28" s="46">
        <f t="shared" si="11"/>
        <v>0</v>
      </c>
      <c r="Z28" s="46">
        <v>1656</v>
      </c>
      <c r="AA28" s="49" t="e">
        <f t="shared" si="22"/>
        <v>#DIV/0!</v>
      </c>
      <c r="AB28" s="50">
        <v>3.0000000000000001E-3</v>
      </c>
      <c r="AC28" s="50">
        <f t="shared" si="12"/>
        <v>4.9234135667396064E-3</v>
      </c>
      <c r="AD28" s="49">
        <f t="shared" si="23"/>
        <v>1.6411378555798688</v>
      </c>
      <c r="AE28" s="46">
        <f t="shared" si="13"/>
        <v>0</v>
      </c>
      <c r="AF28" s="46">
        <v>120959</v>
      </c>
      <c r="AG28" s="49" t="e">
        <f t="shared" si="24"/>
        <v>#DIV/0!</v>
      </c>
      <c r="AH28" s="41">
        <v>0.35</v>
      </c>
      <c r="AI28" s="51">
        <f t="shared" si="14"/>
        <v>0.35962027875558938</v>
      </c>
      <c r="AJ28" s="49">
        <f t="shared" si="25"/>
        <v>1.0274865107302555</v>
      </c>
      <c r="AK28" s="46" t="s">
        <v>68</v>
      </c>
      <c r="AL28" s="52">
        <v>0.4</v>
      </c>
      <c r="AM28" s="52">
        <f t="shared" si="26"/>
        <v>0.21219436301556724</v>
      </c>
      <c r="AN28" s="49">
        <f t="shared" si="27"/>
        <v>0.53048590753891811</v>
      </c>
      <c r="AO28" s="53">
        <f t="shared" si="15"/>
        <v>0</v>
      </c>
      <c r="AP28" s="53">
        <v>25666.817955999999</v>
      </c>
      <c r="AQ28" s="49" t="e">
        <f t="shared" si="28"/>
        <v>#DIV/0!</v>
      </c>
      <c r="AR28" s="50">
        <v>3.5000000000000003E-2</v>
      </c>
      <c r="AS28" s="50">
        <f t="shared" si="29"/>
        <v>3.4999999982078082E-2</v>
      </c>
      <c r="AT28" s="49">
        <f t="shared" si="30"/>
        <v>0.99999999948794516</v>
      </c>
      <c r="AU28" s="53">
        <f t="shared" si="31"/>
        <v>0</v>
      </c>
      <c r="AV28" s="53">
        <f t="shared" si="32"/>
        <v>898.33862800000134</v>
      </c>
      <c r="AW28" s="49" t="e">
        <f t="shared" si="33"/>
        <v>#DIV/0!</v>
      </c>
      <c r="AX28" s="54">
        <f t="shared" si="34"/>
        <v>0</v>
      </c>
      <c r="AY28" s="54">
        <v>26565.156584</v>
      </c>
      <c r="AZ28" s="49" t="e">
        <f t="shared" si="35"/>
        <v>#DIV/0!</v>
      </c>
    </row>
    <row r="29" spans="1:52" ht="25.5" x14ac:dyDescent="0.25">
      <c r="B29" s="42" t="s">
        <v>69</v>
      </c>
      <c r="C29" s="43" t="s">
        <v>52</v>
      </c>
      <c r="D29" s="44" t="s">
        <v>97</v>
      </c>
      <c r="E29" s="44" t="s">
        <v>71</v>
      </c>
      <c r="F29" s="45" t="s">
        <v>72</v>
      </c>
      <c r="G29" s="43" t="s">
        <v>98</v>
      </c>
      <c r="H29" s="29" t="s">
        <v>99</v>
      </c>
      <c r="I29" s="44" t="s">
        <v>100</v>
      </c>
      <c r="J29" s="44" t="s">
        <v>101</v>
      </c>
      <c r="K29" s="44" t="s">
        <v>77</v>
      </c>
      <c r="L29" s="55">
        <f>SUM(P9:P28)*70%</f>
        <v>0</v>
      </c>
      <c r="M29" s="41">
        <v>0.6</v>
      </c>
      <c r="N29" s="41" t="e">
        <f t="shared" si="16"/>
        <v>#DIV/0!</v>
      </c>
      <c r="O29" s="41" t="e">
        <f t="shared" si="17"/>
        <v>#DIV/0!</v>
      </c>
      <c r="P29" s="46">
        <f>M29*L29</f>
        <v>0</v>
      </c>
      <c r="Q29" s="46">
        <v>4523541</v>
      </c>
      <c r="R29" s="49" t="e">
        <f t="shared" si="18"/>
        <v>#DIV/0!</v>
      </c>
      <c r="S29" s="43">
        <v>2</v>
      </c>
      <c r="T29" s="48">
        <f t="shared" si="19"/>
        <v>1.6283179482622132</v>
      </c>
      <c r="U29" s="49">
        <f t="shared" si="20"/>
        <v>0.81415897413110661</v>
      </c>
      <c r="V29" s="46">
        <f t="shared" si="10"/>
        <v>0</v>
      </c>
      <c r="W29" s="56">
        <v>7365763</v>
      </c>
      <c r="X29" s="49" t="e">
        <f t="shared" si="21"/>
        <v>#DIV/0!</v>
      </c>
      <c r="Y29" s="46">
        <f t="shared" si="11"/>
        <v>0</v>
      </c>
      <c r="Z29" s="46">
        <v>23092</v>
      </c>
      <c r="AA29" s="49" t="e">
        <f t="shared" si="22"/>
        <v>#DIV/0!</v>
      </c>
      <c r="AB29" s="50">
        <v>3.0000000000000001E-3</v>
      </c>
      <c r="AC29" s="50">
        <f t="shared" si="12"/>
        <v>3.1350452084868874E-3</v>
      </c>
      <c r="AD29" s="49">
        <f t="shared" si="23"/>
        <v>1.0450150694956291</v>
      </c>
      <c r="AE29" s="46">
        <f t="shared" si="13"/>
        <v>0</v>
      </c>
      <c r="AF29" s="46">
        <v>6765405</v>
      </c>
      <c r="AG29" s="49" t="e">
        <f t="shared" si="24"/>
        <v>#DIV/0!</v>
      </c>
      <c r="AH29" s="41">
        <v>0.85</v>
      </c>
      <c r="AI29" s="41">
        <f t="shared" si="14"/>
        <v>0.91849344053019355</v>
      </c>
      <c r="AJ29" s="49">
        <f t="shared" si="25"/>
        <v>1.0805805182708159</v>
      </c>
      <c r="AK29" s="46" t="s">
        <v>60</v>
      </c>
      <c r="AL29" s="52">
        <v>100</v>
      </c>
      <c r="AM29" s="52">
        <f>AP29/W29*1000</f>
        <v>61.634093543601658</v>
      </c>
      <c r="AN29" s="49">
        <f t="shared" si="27"/>
        <v>0.61634093543601653</v>
      </c>
      <c r="AO29" s="53">
        <f>AL29*V29/1000</f>
        <v>0</v>
      </c>
      <c r="AP29" s="53">
        <v>453982.12576199998</v>
      </c>
      <c r="AQ29" s="49" t="e">
        <f t="shared" si="28"/>
        <v>#DIV/0!</v>
      </c>
      <c r="AR29" s="50">
        <v>3.5000000000000003E-2</v>
      </c>
      <c r="AS29" s="50">
        <f t="shared" si="29"/>
        <v>3.4999999826711294E-2</v>
      </c>
      <c r="AT29" s="49">
        <f t="shared" si="30"/>
        <v>0.99999999504889403</v>
      </c>
      <c r="AU29" s="53">
        <f t="shared" si="31"/>
        <v>0</v>
      </c>
      <c r="AV29" s="53">
        <f t="shared" si="32"/>
        <v>15889.374323000025</v>
      </c>
      <c r="AW29" s="49" t="e">
        <f t="shared" si="33"/>
        <v>#DIV/0!</v>
      </c>
      <c r="AX29" s="54">
        <f t="shared" si="34"/>
        <v>0</v>
      </c>
      <c r="AY29" s="54">
        <v>469871.50008500001</v>
      </c>
      <c r="AZ29" s="49" t="e">
        <f t="shared" si="35"/>
        <v>#DIV/0!</v>
      </c>
    </row>
    <row r="30" spans="1:52" ht="140.25" x14ac:dyDescent="0.25">
      <c r="B30" s="45" t="s">
        <v>69</v>
      </c>
      <c r="C30" s="45" t="s">
        <v>52</v>
      </c>
      <c r="D30" s="27">
        <v>44562</v>
      </c>
      <c r="E30" s="27">
        <v>44616</v>
      </c>
      <c r="F30" s="27" t="s">
        <v>72</v>
      </c>
      <c r="G30" s="45" t="s">
        <v>114</v>
      </c>
      <c r="H30" s="45" t="s">
        <v>115</v>
      </c>
      <c r="I30" s="45" t="s">
        <v>113</v>
      </c>
      <c r="J30" s="45" t="s">
        <v>116</v>
      </c>
      <c r="K30" s="45" t="s">
        <v>100</v>
      </c>
      <c r="L30" s="68">
        <f>SUM(L24:L29)</f>
        <v>0</v>
      </c>
      <c r="M30" s="74">
        <v>0.71445800000000004</v>
      </c>
      <c r="N30" s="86" t="e">
        <f>Q30/L30</f>
        <v>#DIV/0!</v>
      </c>
      <c r="O30" s="34">
        <f t="shared" ref="O21:O36" si="36">IFERROR(N30/M30,0)</f>
        <v>0</v>
      </c>
      <c r="P30" s="75">
        <f>M30*L30</f>
        <v>0</v>
      </c>
      <c r="Q30" s="75">
        <v>8144383</v>
      </c>
      <c r="R30" s="49">
        <f t="shared" ref="R21:R36" si="37">IFERROR(Q30/P30,0)</f>
        <v>0</v>
      </c>
      <c r="S30" s="67">
        <v>3</v>
      </c>
      <c r="T30" s="69">
        <f t="shared" ref="T21:T36" si="38">IFERROR(W30/Q30,0)</f>
        <v>3.436291981848103</v>
      </c>
      <c r="U30" s="49">
        <f t="shared" ref="U21:U36" si="39">IFERROR(T30/S30,0)</f>
        <v>1.1454306606160343</v>
      </c>
      <c r="V30" s="76">
        <f>S30*P30</f>
        <v>0</v>
      </c>
      <c r="W30" s="76">
        <v>27986478</v>
      </c>
      <c r="X30" s="49" t="e">
        <f t="shared" ref="X21:X36" si="40">W30/V30</f>
        <v>#DIV/0!</v>
      </c>
      <c r="Y30" s="77">
        <f t="shared" ref="Y20:Y32" si="41">AB30*V30</f>
        <v>0</v>
      </c>
      <c r="Z30" s="77">
        <v>74601</v>
      </c>
      <c r="AA30" s="49" t="e">
        <f t="shared" ref="AA21:AA36" si="42">Z30/Y30</f>
        <v>#DIV/0!</v>
      </c>
      <c r="AB30" s="78">
        <v>3.0000000000000001E-3</v>
      </c>
      <c r="AC30" s="79">
        <f t="shared" ref="AC21:AC36" si="43">Z30/W30</f>
        <v>2.6656087271860361E-3</v>
      </c>
      <c r="AD30" s="71">
        <f t="shared" ref="AD21:AD36" si="44">AC30/AB30</f>
        <v>0.88853624239534534</v>
      </c>
      <c r="AE30" s="84">
        <v>0.85</v>
      </c>
      <c r="AF30" s="80">
        <f t="shared" ref="AF24:AF35" si="45">AI30/W30</f>
        <v>0.87930914350851863</v>
      </c>
      <c r="AG30" s="71">
        <f t="shared" ref="AG21:AG35" si="46">AF30/AE30</f>
        <v>1.0344813453041395</v>
      </c>
      <c r="AH30" s="81">
        <f t="shared" ref="AH24:AH31" si="47">AE30*V30</f>
        <v>0</v>
      </c>
      <c r="AI30" s="81">
        <v>24608766</v>
      </c>
      <c r="AJ30" s="71" t="e">
        <f t="shared" ref="AJ21:AJ35" si="48">AI30/AH30</f>
        <v>#DIV/0!</v>
      </c>
      <c r="AK30" s="45" t="s">
        <v>60</v>
      </c>
      <c r="AL30" s="82">
        <v>110</v>
      </c>
      <c r="AM30" s="85">
        <f t="shared" ref="AL21:AM36" si="49">AP30/W30*1000</f>
        <v>77.371425375926194</v>
      </c>
      <c r="AN30" s="72">
        <f t="shared" ref="AN21:AN36" si="50">AM30/AL30</f>
        <v>0.70337659432660171</v>
      </c>
      <c r="AO30" s="82">
        <f>AL30*V30/1000</f>
        <v>0</v>
      </c>
      <c r="AP30" s="82">
        <v>2165353.6941120001</v>
      </c>
      <c r="AQ30" s="72" t="e">
        <f t="shared" ref="AQ21:AQ36" si="51">AP30/AO30</f>
        <v>#DIV/0!</v>
      </c>
      <c r="AR30" s="79">
        <v>3.5000000000000003E-2</v>
      </c>
      <c r="AS30" s="79">
        <f t="shared" ref="AS25:AS34" si="52">AV30/AP30</f>
        <v>3.5000000020818649E-2</v>
      </c>
      <c r="AT30" s="73">
        <f t="shared" ref="AT24:AT36" si="53">IFERROR(AS30/AR30,0)</f>
        <v>1.0000000005948184</v>
      </c>
      <c r="AU30" s="82">
        <f t="shared" ref="AU24:AU36" si="54">AR30*AO30</f>
        <v>0</v>
      </c>
      <c r="AV30" s="82">
        <f t="shared" ref="AV24:AV34" si="55">AY30-AP30</f>
        <v>75787.379338999745</v>
      </c>
      <c r="AW30" s="72">
        <f t="shared" ref="AW24:AW35" si="56">IFERROR(AV30/AU30,0)</f>
        <v>0</v>
      </c>
      <c r="AX30" s="82">
        <f t="shared" ref="AX24:AX36" si="57">AO30+AU30</f>
        <v>0</v>
      </c>
      <c r="AY30" s="82">
        <v>2241141.0734509998</v>
      </c>
      <c r="AZ30" s="72" t="e">
        <f t="shared" ref="AZ21:AZ36" si="58">AY30/AX30</f>
        <v>#DIV/0!</v>
      </c>
    </row>
    <row r="31" spans="1:52" s="260" customFormat="1" ht="114.75" x14ac:dyDescent="0.25">
      <c r="A31" s="261"/>
      <c r="B31" s="45" t="s">
        <v>69</v>
      </c>
      <c r="C31" s="45" t="s">
        <v>52</v>
      </c>
      <c r="D31" s="27">
        <v>44562</v>
      </c>
      <c r="E31" s="27">
        <v>44616</v>
      </c>
      <c r="F31" s="27" t="s">
        <v>72</v>
      </c>
      <c r="G31" s="45" t="s">
        <v>117</v>
      </c>
      <c r="H31" s="45" t="s">
        <v>115</v>
      </c>
      <c r="I31" s="45" t="s">
        <v>113</v>
      </c>
      <c r="J31" s="45" t="s">
        <v>116</v>
      </c>
      <c r="K31" s="45" t="s">
        <v>100</v>
      </c>
      <c r="L31" s="68">
        <f>SUM(P24:P29)</f>
        <v>0</v>
      </c>
      <c r="M31" s="74">
        <v>0.5</v>
      </c>
      <c r="N31" s="86" t="e">
        <f>Q31/L31</f>
        <v>#DIV/0!</v>
      </c>
      <c r="O31" s="34">
        <f t="shared" si="36"/>
        <v>0</v>
      </c>
      <c r="P31" s="75">
        <f>M31*L31</f>
        <v>0</v>
      </c>
      <c r="Q31" s="75">
        <v>2647598</v>
      </c>
      <c r="R31" s="49">
        <f t="shared" si="37"/>
        <v>0</v>
      </c>
      <c r="S31" s="67">
        <v>3</v>
      </c>
      <c r="T31" s="69">
        <f t="shared" si="38"/>
        <v>4.6008971150454112</v>
      </c>
      <c r="U31" s="49">
        <f t="shared" si="39"/>
        <v>1.5336323716818037</v>
      </c>
      <c r="V31" s="76">
        <f>P31*S31</f>
        <v>0</v>
      </c>
      <c r="W31" s="76">
        <v>12181326</v>
      </c>
      <c r="X31" s="49" t="e">
        <f t="shared" si="40"/>
        <v>#DIV/0!</v>
      </c>
      <c r="Y31" s="77">
        <f t="shared" si="41"/>
        <v>0</v>
      </c>
      <c r="Z31" s="77">
        <v>25502</v>
      </c>
      <c r="AA31" s="49" t="e">
        <f t="shared" si="42"/>
        <v>#DIV/0!</v>
      </c>
      <c r="AB31" s="78">
        <v>3.0000000000000001E-3</v>
      </c>
      <c r="AC31" s="79">
        <f t="shared" si="43"/>
        <v>2.0935323461501645E-3</v>
      </c>
      <c r="AD31" s="71">
        <f t="shared" si="44"/>
        <v>0.69784411538338809</v>
      </c>
      <c r="AE31" s="84">
        <v>0.9</v>
      </c>
      <c r="AF31" s="80">
        <f t="shared" si="45"/>
        <v>0.89958769677455475</v>
      </c>
      <c r="AG31" s="71">
        <f t="shared" si="46"/>
        <v>0.99954188530506083</v>
      </c>
      <c r="AH31" s="83">
        <f t="shared" si="47"/>
        <v>0</v>
      </c>
      <c r="AI31" s="83">
        <v>10958171</v>
      </c>
      <c r="AJ31" s="71" t="e">
        <f t="shared" si="48"/>
        <v>#DIV/0!</v>
      </c>
      <c r="AK31" s="45" t="s">
        <v>60</v>
      </c>
      <c r="AL31" s="87">
        <v>100</v>
      </c>
      <c r="AM31" s="88">
        <f t="shared" si="49"/>
        <v>74.611995593501064</v>
      </c>
      <c r="AN31" s="72">
        <f t="shared" si="50"/>
        <v>0.74611995593501068</v>
      </c>
      <c r="AO31" s="82">
        <f>AL31*V31/1000</f>
        <v>0</v>
      </c>
      <c r="AP31" s="82">
        <v>908873.04183500004</v>
      </c>
      <c r="AQ31" s="72" t="e">
        <f t="shared" si="51"/>
        <v>#DIV/0!</v>
      </c>
      <c r="AR31" s="79">
        <v>3.5000000000000003E-2</v>
      </c>
      <c r="AS31" s="79">
        <f t="shared" si="52"/>
        <v>3.5000000055865829E-2</v>
      </c>
      <c r="AT31" s="73">
        <f t="shared" si="53"/>
        <v>1.0000000015961665</v>
      </c>
      <c r="AU31" s="82">
        <f t="shared" si="54"/>
        <v>0</v>
      </c>
      <c r="AV31" s="82">
        <f t="shared" si="55"/>
        <v>31810.556514999946</v>
      </c>
      <c r="AW31" s="72">
        <f t="shared" si="56"/>
        <v>0</v>
      </c>
      <c r="AX31" s="82">
        <f t="shared" si="57"/>
        <v>0</v>
      </c>
      <c r="AY31" s="82">
        <v>940683.59834999999</v>
      </c>
      <c r="AZ31" s="72" t="e">
        <f t="shared" si="58"/>
        <v>#DIV/0!</v>
      </c>
    </row>
    <row r="32" spans="1:52" ht="114.75" x14ac:dyDescent="0.25">
      <c r="A32" t="s">
        <v>108</v>
      </c>
      <c r="B32" s="45" t="s">
        <v>69</v>
      </c>
      <c r="C32" s="45" t="s">
        <v>52</v>
      </c>
      <c r="D32" s="27">
        <v>44562</v>
      </c>
      <c r="E32" s="27">
        <v>44616</v>
      </c>
      <c r="F32" s="27" t="s">
        <v>72</v>
      </c>
      <c r="G32" s="45" t="s">
        <v>118</v>
      </c>
      <c r="H32" s="45" t="s">
        <v>115</v>
      </c>
      <c r="I32" s="45" t="s">
        <v>113</v>
      </c>
      <c r="J32" s="45" t="s">
        <v>106</v>
      </c>
      <c r="K32" s="45" t="s">
        <v>119</v>
      </c>
      <c r="L32" s="68" t="s">
        <v>59</v>
      </c>
      <c r="M32" s="74" t="s">
        <v>59</v>
      </c>
      <c r="N32" s="74" t="s">
        <v>59</v>
      </c>
      <c r="O32" s="34" t="s">
        <v>59</v>
      </c>
      <c r="P32" s="75">
        <f>V32/S32</f>
        <v>739077.08333333337</v>
      </c>
      <c r="Q32" s="75">
        <v>1898028</v>
      </c>
      <c r="R32" s="89">
        <f t="shared" si="37"/>
        <v>2.5681056046815143</v>
      </c>
      <c r="S32" s="67">
        <v>3</v>
      </c>
      <c r="T32" s="69">
        <f t="shared" si="38"/>
        <v>2.043232765796922</v>
      </c>
      <c r="U32" s="49">
        <f t="shared" si="39"/>
        <v>0.68107758859897405</v>
      </c>
      <c r="V32" s="76">
        <f>AH32/AE32</f>
        <v>2217231.25</v>
      </c>
      <c r="W32" s="76">
        <v>3878113</v>
      </c>
      <c r="X32" s="49">
        <f t="shared" si="40"/>
        <v>1.7490791725039956</v>
      </c>
      <c r="Y32" s="77">
        <f t="shared" si="41"/>
        <v>6651.6937500000004</v>
      </c>
      <c r="Z32" s="77">
        <v>16600</v>
      </c>
      <c r="AA32" s="49">
        <f t="shared" si="42"/>
        <v>2.4956049727935836</v>
      </c>
      <c r="AB32" s="78">
        <v>3.0000000000000001E-3</v>
      </c>
      <c r="AC32" s="79">
        <f t="shared" si="43"/>
        <v>4.2804322617726711E-3</v>
      </c>
      <c r="AD32" s="71">
        <f t="shared" si="44"/>
        <v>1.4268107539242236</v>
      </c>
      <c r="AE32" s="84">
        <v>0.4</v>
      </c>
      <c r="AF32" s="80">
        <f t="shared" si="45"/>
        <v>0.46468733634115356</v>
      </c>
      <c r="AG32" s="71">
        <f t="shared" si="46"/>
        <v>1.1617183408528837</v>
      </c>
      <c r="AH32" s="81">
        <f>AO32/AL32</f>
        <v>886892.5</v>
      </c>
      <c r="AI32" s="81">
        <v>1802110</v>
      </c>
      <c r="AJ32" s="71">
        <f t="shared" si="48"/>
        <v>2.031937354301677</v>
      </c>
      <c r="AK32" s="45" t="s">
        <v>68</v>
      </c>
      <c r="AL32" s="85">
        <v>0.4</v>
      </c>
      <c r="AM32" s="85">
        <f>AP32/AI32</f>
        <v>0.18017876074213007</v>
      </c>
      <c r="AN32" s="72">
        <f t="shared" si="50"/>
        <v>0.45044690185532515</v>
      </c>
      <c r="AO32" s="82">
        <f>324757+30000</f>
        <v>354757</v>
      </c>
      <c r="AP32" s="82">
        <v>324701.94652100001</v>
      </c>
      <c r="AQ32" s="72">
        <f t="shared" si="51"/>
        <v>0.91527988600929655</v>
      </c>
      <c r="AR32" s="79">
        <v>3.5000000000000003E-2</v>
      </c>
      <c r="AS32" s="79">
        <f t="shared" si="52"/>
        <v>3.4999999953080098E-2</v>
      </c>
      <c r="AT32" s="73">
        <f t="shared" si="53"/>
        <v>0.99999999865943123</v>
      </c>
      <c r="AU32" s="82">
        <f t="shared" si="54"/>
        <v>12416.495000000001</v>
      </c>
      <c r="AV32" s="82">
        <f t="shared" si="55"/>
        <v>11364.568113000016</v>
      </c>
      <c r="AW32" s="72">
        <f t="shared" si="56"/>
        <v>0.91527988478230093</v>
      </c>
      <c r="AX32" s="82">
        <f t="shared" si="57"/>
        <v>367173.495</v>
      </c>
      <c r="AY32" s="82">
        <v>336066.51463400002</v>
      </c>
      <c r="AZ32" s="72">
        <f t="shared" si="58"/>
        <v>0.91527988596780396</v>
      </c>
    </row>
    <row r="33" spans="1:52" ht="114.75" x14ac:dyDescent="0.25">
      <c r="B33" s="45" t="s">
        <v>120</v>
      </c>
      <c r="C33" s="45" t="s">
        <v>121</v>
      </c>
      <c r="D33" s="27">
        <v>44562</v>
      </c>
      <c r="E33" s="27">
        <v>44603</v>
      </c>
      <c r="F33" s="27" t="s">
        <v>72</v>
      </c>
      <c r="G33" s="45" t="s">
        <v>122</v>
      </c>
      <c r="H33" s="45" t="s">
        <v>115</v>
      </c>
      <c r="I33" s="45" t="s">
        <v>113</v>
      </c>
      <c r="J33" s="45" t="s">
        <v>106</v>
      </c>
      <c r="K33" s="21" t="s">
        <v>107</v>
      </c>
      <c r="L33" s="67">
        <v>13820000</v>
      </c>
      <c r="M33" s="34">
        <f>P33/L33</f>
        <v>0.66666666666666674</v>
      </c>
      <c r="N33" s="34">
        <f>Q33/L33</f>
        <v>0</v>
      </c>
      <c r="O33" s="34">
        <f t="shared" si="36"/>
        <v>0</v>
      </c>
      <c r="P33" s="90">
        <f>V33/S33</f>
        <v>9213333.333333334</v>
      </c>
      <c r="Q33" s="90">
        <f>[1]Verification!K49</f>
        <v>0</v>
      </c>
      <c r="R33" s="49">
        <f t="shared" si="37"/>
        <v>0</v>
      </c>
      <c r="S33" s="67">
        <v>4</v>
      </c>
      <c r="T33" s="67">
        <f t="shared" si="38"/>
        <v>0</v>
      </c>
      <c r="U33" s="49">
        <f t="shared" si="39"/>
        <v>0</v>
      </c>
      <c r="V33" s="76">
        <f>AO33/AL33*1000</f>
        <v>36853333.333333336</v>
      </c>
      <c r="W33" s="76">
        <v>36664665</v>
      </c>
      <c r="X33" s="49">
        <f t="shared" si="40"/>
        <v>0.99488056259044855</v>
      </c>
      <c r="Y33" s="77">
        <f>AB33*V33</f>
        <v>110560.00000000001</v>
      </c>
      <c r="Z33" s="77">
        <v>40724</v>
      </c>
      <c r="AA33" s="49">
        <f t="shared" si="42"/>
        <v>0.3683429811866859</v>
      </c>
      <c r="AB33" s="78">
        <v>3.0000000000000001E-3</v>
      </c>
      <c r="AC33" s="91">
        <f t="shared" si="43"/>
        <v>1.1107151804059848E-3</v>
      </c>
      <c r="AD33" s="71">
        <f t="shared" si="44"/>
        <v>0.37023839346866161</v>
      </c>
      <c r="AE33" s="84">
        <v>0.85</v>
      </c>
      <c r="AF33" s="84">
        <f t="shared" si="45"/>
        <v>0.95842943062482633</v>
      </c>
      <c r="AG33" s="71">
        <f t="shared" si="46"/>
        <v>1.1275640360292074</v>
      </c>
      <c r="AH33" s="81">
        <f t="shared" ref="AH33:AH35" si="59">AE33*V33</f>
        <v>31325333.333333336</v>
      </c>
      <c r="AI33" s="81">
        <v>35140494</v>
      </c>
      <c r="AJ33" s="71">
        <f t="shared" si="48"/>
        <v>1.1217915425214948</v>
      </c>
      <c r="AK33" s="45" t="s">
        <v>60</v>
      </c>
      <c r="AL33" s="82">
        <v>202.5</v>
      </c>
      <c r="AM33" s="85">
        <f t="shared" si="49"/>
        <v>202.65656528008643</v>
      </c>
      <c r="AN33" s="72">
        <f t="shared" si="50"/>
        <v>1.00077316187697</v>
      </c>
      <c r="AO33" s="82">
        <v>7462800</v>
      </c>
      <c r="AP33" s="82">
        <v>7430335.076045</v>
      </c>
      <c r="AQ33" s="72">
        <f t="shared" si="51"/>
        <v>0.99564976631358204</v>
      </c>
      <c r="AR33" s="79">
        <v>3.5000000000000003E-2</v>
      </c>
      <c r="AS33" s="79">
        <f t="shared" si="52"/>
        <v>3.500000000005718E-2</v>
      </c>
      <c r="AT33" s="73">
        <f t="shared" si="53"/>
        <v>1.0000000000016336</v>
      </c>
      <c r="AU33" s="82">
        <f t="shared" si="54"/>
        <v>261198.00000000003</v>
      </c>
      <c r="AV33" s="82">
        <f t="shared" si="55"/>
        <v>260061.72766199987</v>
      </c>
      <c r="AW33" s="72">
        <f t="shared" si="56"/>
        <v>0.99564976631520852</v>
      </c>
      <c r="AX33" s="82">
        <f t="shared" si="57"/>
        <v>7723998</v>
      </c>
      <c r="AY33" s="82">
        <v>7690396.8037069999</v>
      </c>
      <c r="AZ33" s="72">
        <f t="shared" si="58"/>
        <v>0.995649766313637</v>
      </c>
    </row>
    <row r="34" spans="1:52" ht="114.75" x14ac:dyDescent="0.25">
      <c r="B34" s="45" t="s">
        <v>120</v>
      </c>
      <c r="C34" s="45" t="s">
        <v>121</v>
      </c>
      <c r="D34" s="27">
        <v>44562</v>
      </c>
      <c r="E34" s="27">
        <v>44603</v>
      </c>
      <c r="F34" s="27" t="s">
        <v>72</v>
      </c>
      <c r="G34" s="45" t="s">
        <v>123</v>
      </c>
      <c r="H34" s="45" t="s">
        <v>115</v>
      </c>
      <c r="I34" s="45" t="s">
        <v>113</v>
      </c>
      <c r="J34" s="45" t="s">
        <v>116</v>
      </c>
      <c r="K34" s="21" t="s">
        <v>107</v>
      </c>
      <c r="L34" s="68">
        <f>P33</f>
        <v>9213333.333333334</v>
      </c>
      <c r="M34" s="34">
        <f>P34/L34</f>
        <v>0.6</v>
      </c>
      <c r="N34" s="34">
        <f>Q34/L34</f>
        <v>0</v>
      </c>
      <c r="O34" s="34">
        <f t="shared" si="36"/>
        <v>0</v>
      </c>
      <c r="P34" s="90">
        <f>V34/S34</f>
        <v>5528000</v>
      </c>
      <c r="Q34" s="90">
        <f>[1]Verification!K50</f>
        <v>0</v>
      </c>
      <c r="R34" s="49">
        <f t="shared" si="37"/>
        <v>0</v>
      </c>
      <c r="S34" s="67">
        <v>4</v>
      </c>
      <c r="T34" s="67">
        <f t="shared" si="38"/>
        <v>0</v>
      </c>
      <c r="U34" s="49">
        <f t="shared" si="39"/>
        <v>0</v>
      </c>
      <c r="V34" s="76">
        <f>AO34/AL34*1000</f>
        <v>22112000</v>
      </c>
      <c r="W34" s="76">
        <v>21805438</v>
      </c>
      <c r="X34" s="49">
        <f t="shared" si="40"/>
        <v>0.98613594428364693</v>
      </c>
      <c r="Y34" s="77">
        <f>AB34*V34</f>
        <v>66336</v>
      </c>
      <c r="Z34" s="77">
        <v>38252</v>
      </c>
      <c r="AA34" s="49">
        <f t="shared" si="42"/>
        <v>0.57664013506994694</v>
      </c>
      <c r="AB34" s="78">
        <v>3.0000000000000001E-3</v>
      </c>
      <c r="AC34" s="91">
        <f t="shared" si="43"/>
        <v>1.7542413043938857E-3</v>
      </c>
      <c r="AD34" s="71">
        <f t="shared" si="44"/>
        <v>0.58474710146462849</v>
      </c>
      <c r="AE34" s="84">
        <v>0.9</v>
      </c>
      <c r="AF34" s="84">
        <f t="shared" si="45"/>
        <v>0.88630602146125204</v>
      </c>
      <c r="AG34" s="71">
        <f t="shared" si="46"/>
        <v>0.98478446829027999</v>
      </c>
      <c r="AH34" s="81">
        <f t="shared" si="59"/>
        <v>19900800</v>
      </c>
      <c r="AI34" s="81">
        <v>19326291</v>
      </c>
      <c r="AJ34" s="71">
        <f t="shared" si="48"/>
        <v>0.97113136155330437</v>
      </c>
      <c r="AK34" s="45" t="s">
        <v>60</v>
      </c>
      <c r="AL34" s="82">
        <v>67.5</v>
      </c>
      <c r="AM34" s="85">
        <f t="shared" si="49"/>
        <v>67.540218421478173</v>
      </c>
      <c r="AN34" s="72">
        <f t="shared" si="50"/>
        <v>1.0005958284663432</v>
      </c>
      <c r="AO34" s="82">
        <v>1492560</v>
      </c>
      <c r="AP34" s="82">
        <v>1472744.0452960001</v>
      </c>
      <c r="AQ34" s="72">
        <f t="shared" si="51"/>
        <v>0.98672351215093534</v>
      </c>
      <c r="AR34" s="79">
        <v>3.5000000000000003E-2</v>
      </c>
      <c r="AS34" s="79">
        <f t="shared" si="52"/>
        <v>3.4999999999755553E-2</v>
      </c>
      <c r="AT34" s="73">
        <f t="shared" si="53"/>
        <v>0.9999999999930157</v>
      </c>
      <c r="AU34" s="82">
        <f t="shared" si="54"/>
        <v>52239.600000000006</v>
      </c>
      <c r="AV34" s="82">
        <f t="shared" si="55"/>
        <v>51546.041584999999</v>
      </c>
      <c r="AW34" s="72">
        <f t="shared" si="56"/>
        <v>0.98672351214404386</v>
      </c>
      <c r="AX34" s="82">
        <f t="shared" si="57"/>
        <v>1544799.6</v>
      </c>
      <c r="AY34" s="82">
        <v>1524290.0868810001</v>
      </c>
      <c r="AZ34" s="72">
        <f t="shared" si="58"/>
        <v>0.98672351215070231</v>
      </c>
    </row>
    <row r="35" spans="1:52" ht="114.75" x14ac:dyDescent="0.25">
      <c r="B35" s="45" t="s">
        <v>124</v>
      </c>
      <c r="C35" s="45" t="s">
        <v>121</v>
      </c>
      <c r="D35" s="27">
        <v>44578</v>
      </c>
      <c r="E35" s="27">
        <v>44592</v>
      </c>
      <c r="F35" s="27" t="s">
        <v>125</v>
      </c>
      <c r="G35" s="45" t="s">
        <v>126</v>
      </c>
      <c r="H35" s="45" t="s">
        <v>127</v>
      </c>
      <c r="I35" s="45" t="s">
        <v>113</v>
      </c>
      <c r="J35" s="45" t="s">
        <v>106</v>
      </c>
      <c r="K35" s="21" t="s">
        <v>107</v>
      </c>
      <c r="L35" s="68">
        <v>2700000</v>
      </c>
      <c r="M35" s="74">
        <v>0.5</v>
      </c>
      <c r="N35" s="74">
        <f>Q35/L35</f>
        <v>0.5473648148148148</v>
      </c>
      <c r="O35" s="34">
        <f t="shared" si="36"/>
        <v>1.0947296296296296</v>
      </c>
      <c r="P35" s="75">
        <f>M35*L35</f>
        <v>1350000</v>
      </c>
      <c r="Q35" s="75">
        <v>1477885</v>
      </c>
      <c r="R35" s="49">
        <f t="shared" si="37"/>
        <v>1.0947296296296296</v>
      </c>
      <c r="S35" s="67">
        <v>2</v>
      </c>
      <c r="T35" s="67">
        <f t="shared" si="38"/>
        <v>2.1145305622561974</v>
      </c>
      <c r="U35" s="49">
        <f t="shared" si="39"/>
        <v>1.0572652811280987</v>
      </c>
      <c r="V35" s="76">
        <f t="shared" ref="V35" si="60">S35*P35</f>
        <v>2700000</v>
      </c>
      <c r="W35" s="76">
        <v>3125033</v>
      </c>
      <c r="X35" s="49">
        <f t="shared" si="40"/>
        <v>1.1574196296296295</v>
      </c>
      <c r="Y35" s="77" t="s">
        <v>59</v>
      </c>
      <c r="Z35" s="77" t="s">
        <v>59</v>
      </c>
      <c r="AA35" s="49" t="s">
        <v>59</v>
      </c>
      <c r="AB35" s="78" t="s">
        <v>59</v>
      </c>
      <c r="AC35" s="79" t="s">
        <v>59</v>
      </c>
      <c r="AD35" s="71" t="s">
        <v>59</v>
      </c>
      <c r="AE35" s="84">
        <v>0.85</v>
      </c>
      <c r="AF35" s="80">
        <f t="shared" si="45"/>
        <v>0.96901472720448067</v>
      </c>
      <c r="AG35" s="71">
        <f t="shared" si="46"/>
        <v>1.1400173261229185</v>
      </c>
      <c r="AH35" s="83">
        <f t="shared" si="59"/>
        <v>2295000</v>
      </c>
      <c r="AI35" s="83">
        <v>3028203</v>
      </c>
      <c r="AJ35" s="71">
        <f t="shared" si="48"/>
        <v>1.3194784313725489</v>
      </c>
      <c r="AK35" s="45" t="s">
        <v>60</v>
      </c>
      <c r="AL35" s="92">
        <v>225</v>
      </c>
      <c r="AM35" s="85">
        <f>AP35/W35*1000</f>
        <v>194.39794715767803</v>
      </c>
      <c r="AN35" s="72">
        <f t="shared" si="50"/>
        <v>0.86399087625634685</v>
      </c>
      <c r="AO35" s="82">
        <f t="shared" ref="AO35" si="61">AL35*V35/1000</f>
        <v>607500</v>
      </c>
      <c r="AP35" s="82">
        <v>607500</v>
      </c>
      <c r="AQ35" s="72">
        <f t="shared" si="51"/>
        <v>1</v>
      </c>
      <c r="AR35" s="79">
        <v>3.5000000000000003E-2</v>
      </c>
      <c r="AS35" s="79">
        <v>0</v>
      </c>
      <c r="AT35" s="73">
        <f t="shared" si="53"/>
        <v>0</v>
      </c>
      <c r="AU35" s="82">
        <v>0</v>
      </c>
      <c r="AV35" s="82">
        <f>AS35*AP35</f>
        <v>0</v>
      </c>
      <c r="AW35" s="72">
        <f t="shared" si="56"/>
        <v>0</v>
      </c>
      <c r="AX35" s="82">
        <f t="shared" si="57"/>
        <v>607500</v>
      </c>
      <c r="AY35" s="82">
        <f>AP35+AV35</f>
        <v>607500</v>
      </c>
      <c r="AZ35" s="72">
        <f t="shared" si="58"/>
        <v>1</v>
      </c>
    </row>
    <row r="36" spans="1:52" ht="114.75" x14ac:dyDescent="0.25">
      <c r="B36" s="45" t="s">
        <v>128</v>
      </c>
      <c r="C36" s="45" t="s">
        <v>52</v>
      </c>
      <c r="D36" s="27">
        <v>44562</v>
      </c>
      <c r="E36" s="27">
        <v>44616</v>
      </c>
      <c r="F36" s="27" t="s">
        <v>72</v>
      </c>
      <c r="G36" s="45" t="s">
        <v>129</v>
      </c>
      <c r="H36" s="45" t="s">
        <v>115</v>
      </c>
      <c r="I36" s="45" t="s">
        <v>113</v>
      </c>
      <c r="J36" s="45" t="s">
        <v>130</v>
      </c>
      <c r="K36" s="45" t="s">
        <v>131</v>
      </c>
      <c r="L36" s="68" t="s">
        <v>59</v>
      </c>
      <c r="M36" s="74" t="s">
        <v>59</v>
      </c>
      <c r="N36" s="74" t="s">
        <v>59</v>
      </c>
      <c r="O36" s="34">
        <f t="shared" si="36"/>
        <v>0</v>
      </c>
      <c r="P36" s="75">
        <f>V36/S36</f>
        <v>1250000</v>
      </c>
      <c r="Q36" s="75">
        <v>976476</v>
      </c>
      <c r="R36" s="49">
        <f t="shared" si="37"/>
        <v>0.78118080000000001</v>
      </c>
      <c r="S36" s="67">
        <v>5</v>
      </c>
      <c r="T36" s="69">
        <f t="shared" si="38"/>
        <v>6.6236384714012431</v>
      </c>
      <c r="U36" s="49">
        <f t="shared" si="39"/>
        <v>1.3247276942802486</v>
      </c>
      <c r="V36" s="76">
        <f>AO36/AL36*1000</f>
        <v>6250000</v>
      </c>
      <c r="W36" s="76">
        <v>6467824</v>
      </c>
      <c r="X36" s="49">
        <f t="shared" si="40"/>
        <v>1.03485184</v>
      </c>
      <c r="Y36" s="77">
        <f>AB36*V36</f>
        <v>12500</v>
      </c>
      <c r="Z36" s="77">
        <v>22876</v>
      </c>
      <c r="AA36" s="49">
        <f t="shared" si="42"/>
        <v>1.8300799999999999</v>
      </c>
      <c r="AB36" s="70">
        <v>2E-3</v>
      </c>
      <c r="AC36" s="79">
        <f t="shared" si="43"/>
        <v>3.5368927787769117E-3</v>
      </c>
      <c r="AD36" s="71">
        <f t="shared" si="44"/>
        <v>1.7684463893884559</v>
      </c>
      <c r="AE36" s="84" t="s">
        <v>59</v>
      </c>
      <c r="AF36" s="80" t="s">
        <v>59</v>
      </c>
      <c r="AG36" s="71" t="s">
        <v>59</v>
      </c>
      <c r="AH36" s="83" t="s">
        <v>59</v>
      </c>
      <c r="AI36" s="83" t="s">
        <v>59</v>
      </c>
      <c r="AJ36" s="71" t="s">
        <v>59</v>
      </c>
      <c r="AK36" s="45" t="s">
        <v>60</v>
      </c>
      <c r="AL36" s="92">
        <f>160</f>
        <v>160</v>
      </c>
      <c r="AM36" s="85">
        <f t="shared" si="49"/>
        <v>157.05393138882567</v>
      </c>
      <c r="AN36" s="72">
        <f t="shared" si="50"/>
        <v>0.98158707118016042</v>
      </c>
      <c r="AO36" s="37">
        <v>1000000</v>
      </c>
      <c r="AP36" s="82">
        <v>1015797.186731</v>
      </c>
      <c r="AQ36" s="72">
        <f t="shared" si="51"/>
        <v>1.0157971867310001</v>
      </c>
      <c r="AR36" s="79">
        <v>9.4E-2</v>
      </c>
      <c r="AS36" s="79">
        <v>9.4E-2</v>
      </c>
      <c r="AT36" s="73">
        <f t="shared" si="53"/>
        <v>1</v>
      </c>
      <c r="AU36" s="82">
        <f t="shared" si="54"/>
        <v>94000</v>
      </c>
      <c r="AV36" s="82">
        <v>73871.268213999996</v>
      </c>
      <c r="AW36" s="73">
        <f>AV36/AU36</f>
        <v>0.78586455546808509</v>
      </c>
      <c r="AX36" s="82">
        <f t="shared" si="57"/>
        <v>1094000</v>
      </c>
      <c r="AY36" s="82">
        <v>1089668.4549450001</v>
      </c>
      <c r="AZ36" s="72">
        <f t="shared" si="58"/>
        <v>0.99604063523308972</v>
      </c>
    </row>
    <row r="37" spans="1:52" x14ac:dyDescent="0.25">
      <c r="A37" t="s">
        <v>110</v>
      </c>
    </row>
    <row r="38" spans="1:52" ht="72" x14ac:dyDescent="0.25">
      <c r="B38" s="93" t="s">
        <v>133</v>
      </c>
      <c r="C38" s="94" t="s">
        <v>52</v>
      </c>
      <c r="D38" s="95">
        <v>44557</v>
      </c>
      <c r="E38" s="95">
        <v>44579</v>
      </c>
      <c r="F38" s="94" t="s">
        <v>72</v>
      </c>
      <c r="G38" s="93" t="s">
        <v>134</v>
      </c>
      <c r="H38" s="93" t="s">
        <v>135</v>
      </c>
      <c r="I38" s="96" t="s">
        <v>136</v>
      </c>
      <c r="J38" s="93" t="s">
        <v>137</v>
      </c>
      <c r="K38" s="96" t="s">
        <v>75</v>
      </c>
      <c r="L38" s="97">
        <v>6900000</v>
      </c>
      <c r="M38" s="98">
        <v>0.6</v>
      </c>
      <c r="N38" s="98">
        <f>Q38/L38</f>
        <v>0.29482681159420288</v>
      </c>
      <c r="O38" s="98">
        <f>N38/M38</f>
        <v>0.49137801932367148</v>
      </c>
      <c r="P38" s="99">
        <f>M38*L38</f>
        <v>4140000</v>
      </c>
      <c r="Q38" s="99">
        <v>2034305</v>
      </c>
      <c r="R38" s="100">
        <f>Q38/P38</f>
        <v>0.49137801932367148</v>
      </c>
      <c r="S38" s="101">
        <v>3</v>
      </c>
      <c r="T38" s="101">
        <f>SUM(W38:W39)/Q38</f>
        <v>1.8126416638606306</v>
      </c>
      <c r="U38" s="102">
        <f>T38/S38</f>
        <v>0.60421388795354358</v>
      </c>
      <c r="V38" s="103">
        <f>P38*1.7</f>
        <v>7038000</v>
      </c>
      <c r="W38" s="103">
        <v>1388026</v>
      </c>
      <c r="X38" s="61">
        <f>W38/V38</f>
        <v>0.19721881216254616</v>
      </c>
      <c r="Y38" s="103">
        <f>AB38*V38</f>
        <v>21114</v>
      </c>
      <c r="Z38" s="103">
        <v>5517</v>
      </c>
      <c r="AA38" s="61">
        <f>Z38/Y38</f>
        <v>0.26129582267689683</v>
      </c>
      <c r="AB38" s="104">
        <v>3.0000000000000001E-3</v>
      </c>
      <c r="AC38" s="104">
        <f>Z38/W38</f>
        <v>3.9747094074606675E-3</v>
      </c>
      <c r="AD38" s="61">
        <f>AC38/AB38</f>
        <v>1.3249031358202226</v>
      </c>
      <c r="AE38" s="105">
        <f>AH38*V38</f>
        <v>2111400</v>
      </c>
      <c r="AF38" s="105">
        <v>464306</v>
      </c>
      <c r="AG38" s="61">
        <f>AF38/AE38</f>
        <v>0.21990432888131098</v>
      </c>
      <c r="AH38" s="106">
        <v>0.3</v>
      </c>
      <c r="AI38" s="107">
        <f>AF38/W38</f>
        <v>0.33450814321921923</v>
      </c>
      <c r="AJ38" s="61">
        <f>AI38/AH38</f>
        <v>1.1150271440640642</v>
      </c>
      <c r="AK38" s="93" t="s">
        <v>68</v>
      </c>
      <c r="AL38" s="108">
        <v>0.5</v>
      </c>
      <c r="AM38" s="109">
        <f>AP38/AF38</f>
        <v>0.26024208530581128</v>
      </c>
      <c r="AN38" s="61">
        <f>AM38/AL38</f>
        <v>0.52048417061162255</v>
      </c>
      <c r="AO38" s="110">
        <f>AL38*AE38</f>
        <v>1055700</v>
      </c>
      <c r="AP38" s="110">
        <v>120831.96166</v>
      </c>
      <c r="AQ38" s="61">
        <f>AP38/AO38</f>
        <v>0.1144567222316946</v>
      </c>
      <c r="AR38" s="111">
        <v>3.5000000000000003E-2</v>
      </c>
      <c r="AS38" s="111">
        <f>AV38/AP38</f>
        <v>3.5000000007448358E-2</v>
      </c>
      <c r="AT38" s="61">
        <f>AS38/AR38</f>
        <v>1.0000000002128102</v>
      </c>
      <c r="AU38" s="110">
        <f>AR38*AO38</f>
        <v>36949.5</v>
      </c>
      <c r="AV38" s="110">
        <f>AY38-AP38</f>
        <v>4229.1186589999998</v>
      </c>
      <c r="AW38" s="61">
        <f>AV38/AU38</f>
        <v>0.11445672225605218</v>
      </c>
      <c r="AX38" s="110">
        <f>AO38+AU38</f>
        <v>1092649.5</v>
      </c>
      <c r="AY38" s="110">
        <v>125061.080319</v>
      </c>
      <c r="AZ38" s="61">
        <f>AY38/AX38</f>
        <v>0.11445672223251829</v>
      </c>
    </row>
    <row r="39" spans="1:52" ht="72" x14ac:dyDescent="0.25">
      <c r="B39" s="93" t="s">
        <v>133</v>
      </c>
      <c r="C39" s="94" t="s">
        <v>52</v>
      </c>
      <c r="D39" s="95">
        <v>44557</v>
      </c>
      <c r="E39" s="95">
        <v>44579</v>
      </c>
      <c r="F39" s="94" t="s">
        <v>72</v>
      </c>
      <c r="G39" s="93" t="s">
        <v>134</v>
      </c>
      <c r="H39" s="93" t="s">
        <v>135</v>
      </c>
      <c r="I39" s="96" t="s">
        <v>136</v>
      </c>
      <c r="J39" s="93" t="s">
        <v>76</v>
      </c>
      <c r="K39" s="96" t="s">
        <v>138</v>
      </c>
      <c r="L39" s="112"/>
      <c r="M39" s="113"/>
      <c r="N39" s="113"/>
      <c r="O39" s="113"/>
      <c r="P39" s="114"/>
      <c r="Q39" s="114"/>
      <c r="R39" s="115"/>
      <c r="S39" s="116"/>
      <c r="T39" s="116"/>
      <c r="U39" s="117"/>
      <c r="V39" s="103">
        <f>P38*1.3</f>
        <v>5382000</v>
      </c>
      <c r="W39" s="103">
        <v>2299440</v>
      </c>
      <c r="X39" s="61">
        <f t="shared" ref="X39:X59" si="62">W39/V39</f>
        <v>0.42724637681159422</v>
      </c>
      <c r="Y39" s="103">
        <f t="shared" ref="Y39:Y59" si="63">AB39*V39</f>
        <v>16146</v>
      </c>
      <c r="Z39" s="103">
        <v>11654</v>
      </c>
      <c r="AA39" s="61">
        <f t="shared" ref="AA39:AA59" si="64">Z39/Y39</f>
        <v>0.72178867831041749</v>
      </c>
      <c r="AB39" s="104">
        <v>3.0000000000000001E-3</v>
      </c>
      <c r="AC39" s="104">
        <f t="shared" ref="AC39:AC59" si="65">Z39/W39</f>
        <v>5.0681905159517104E-3</v>
      </c>
      <c r="AD39" s="61">
        <f t="shared" ref="AD39:AD59" si="66">AC39/AB39</f>
        <v>1.68939683865057</v>
      </c>
      <c r="AE39" s="105">
        <f>AH39*V39</f>
        <v>4036500</v>
      </c>
      <c r="AF39" s="105">
        <v>1835702</v>
      </c>
      <c r="AG39" s="61">
        <f t="shared" ref="AG39:AG59" si="67">AF39/AE39</f>
        <v>0.45477567199306329</v>
      </c>
      <c r="AH39" s="106">
        <v>0.75</v>
      </c>
      <c r="AI39" s="107">
        <f t="shared" ref="AI39:AI59" si="68">AF39/W39</f>
        <v>0.79832567929582854</v>
      </c>
      <c r="AJ39" s="61">
        <f t="shared" ref="AJ39:AJ59" si="69">AI39/AH39</f>
        <v>1.0644342390611048</v>
      </c>
      <c r="AK39" s="93" t="s">
        <v>60</v>
      </c>
      <c r="AL39" s="118">
        <v>140</v>
      </c>
      <c r="AM39" s="110">
        <f>AP39/W39*1000</f>
        <v>85.123051599084988</v>
      </c>
      <c r="AN39" s="61">
        <f t="shared" ref="AN39:AN59" si="70">AM39/AL39</f>
        <v>0.60802179713632132</v>
      </c>
      <c r="AO39" s="110">
        <f>AL39*V39/1000</f>
        <v>753480</v>
      </c>
      <c r="AP39" s="110">
        <v>195735.34976899999</v>
      </c>
      <c r="AQ39" s="61">
        <f t="shared" ref="AQ39:AQ59" si="71">AP39/AO39</f>
        <v>0.25977510984896746</v>
      </c>
      <c r="AR39" s="111">
        <v>3.5000000000000003E-2</v>
      </c>
      <c r="AS39" s="111">
        <f t="shared" ref="AS39:AS59" si="72">AV39/AP39</f>
        <v>3.5000000066850542E-2</v>
      </c>
      <c r="AT39" s="61">
        <f t="shared" ref="AT39:AT59" si="73">AS39/AR39</f>
        <v>1.0000000019100155</v>
      </c>
      <c r="AU39" s="110">
        <f>AR39*AO39</f>
        <v>26371.800000000003</v>
      </c>
      <c r="AV39" s="110">
        <f t="shared" ref="AV39:AV59" si="74">AY39-AP39</f>
        <v>6850.7372550000146</v>
      </c>
      <c r="AW39" s="61">
        <f t="shared" ref="AW39:AW59" si="75">AV39/AU39</f>
        <v>0.25977511034514195</v>
      </c>
      <c r="AX39" s="110">
        <f>AO39+AU39</f>
        <v>779851.8</v>
      </c>
      <c r="AY39" s="110">
        <v>202586.08702400001</v>
      </c>
      <c r="AZ39" s="61">
        <f t="shared" ref="AZ39:AZ59" si="76">AY39/AX39</f>
        <v>0.25977510986574626</v>
      </c>
    </row>
    <row r="40" spans="1:52" ht="72" x14ac:dyDescent="0.25">
      <c r="B40" s="93" t="s">
        <v>133</v>
      </c>
      <c r="C40" s="94" t="s">
        <v>52</v>
      </c>
      <c r="D40" s="95">
        <v>44557</v>
      </c>
      <c r="E40" s="95">
        <v>44579</v>
      </c>
      <c r="F40" s="94" t="s">
        <v>72</v>
      </c>
      <c r="G40" s="93" t="s">
        <v>139</v>
      </c>
      <c r="H40" s="93" t="s">
        <v>79</v>
      </c>
      <c r="I40" s="96" t="s">
        <v>136</v>
      </c>
      <c r="J40" s="93" t="s">
        <v>137</v>
      </c>
      <c r="K40" s="96" t="s">
        <v>75</v>
      </c>
      <c r="L40" s="65">
        <v>3356163</v>
      </c>
      <c r="M40" s="98">
        <v>0.6</v>
      </c>
      <c r="N40" s="98">
        <f>Q40/L40</f>
        <v>0.20893711062305376</v>
      </c>
      <c r="O40" s="98">
        <f>N40/M40</f>
        <v>0.34822851770508961</v>
      </c>
      <c r="P40" s="99">
        <f>M40*L40</f>
        <v>2013697.7999999998</v>
      </c>
      <c r="Q40" s="99">
        <v>701227</v>
      </c>
      <c r="R40" s="100">
        <f>Q40/P40</f>
        <v>0.34822851770508967</v>
      </c>
      <c r="S40" s="101">
        <v>3</v>
      </c>
      <c r="T40" s="101">
        <f>SUM(W40:W41)/Q40</f>
        <v>1.8988373237197085</v>
      </c>
      <c r="U40" s="102">
        <f>T40/S40</f>
        <v>0.6329457745732362</v>
      </c>
      <c r="V40" s="103">
        <f t="shared" ref="V40" si="77">P40*1.7</f>
        <v>3423286.26</v>
      </c>
      <c r="W40" s="103">
        <v>459980</v>
      </c>
      <c r="X40" s="61">
        <f t="shared" si="62"/>
        <v>0.13436796255537217</v>
      </c>
      <c r="Y40" s="103">
        <f t="shared" si="63"/>
        <v>10269.858779999999</v>
      </c>
      <c r="Z40" s="103">
        <v>1682</v>
      </c>
      <c r="AA40" s="61">
        <f t="shared" si="64"/>
        <v>0.16378024625573287</v>
      </c>
      <c r="AB40" s="104">
        <v>3.0000000000000001E-3</v>
      </c>
      <c r="AC40" s="104">
        <f t="shared" si="65"/>
        <v>3.6566807252489237E-3</v>
      </c>
      <c r="AD40" s="61">
        <f t="shared" si="66"/>
        <v>1.2188935750829746</v>
      </c>
      <c r="AE40" s="105">
        <f t="shared" ref="AE40:AE50" si="78">AH40*V40</f>
        <v>1026985.8779999999</v>
      </c>
      <c r="AF40" s="105">
        <v>141425</v>
      </c>
      <c r="AG40" s="61">
        <f t="shared" si="67"/>
        <v>0.13770880693648643</v>
      </c>
      <c r="AH40" s="106">
        <v>0.3</v>
      </c>
      <c r="AI40" s="107">
        <f t="shared" si="68"/>
        <v>0.30745901995738945</v>
      </c>
      <c r="AJ40" s="61">
        <f t="shared" si="69"/>
        <v>1.0248633998579648</v>
      </c>
      <c r="AK40" s="93" t="s">
        <v>68</v>
      </c>
      <c r="AL40" s="108">
        <v>0.5</v>
      </c>
      <c r="AM40" s="109">
        <f>AP40/AF40</f>
        <v>0.28338057958635315</v>
      </c>
      <c r="AN40" s="61">
        <f t="shared" si="70"/>
        <v>0.56676115917270631</v>
      </c>
      <c r="AO40" s="110">
        <f>AL40*AE40</f>
        <v>513492.93899999995</v>
      </c>
      <c r="AP40" s="110">
        <v>40077.098467999997</v>
      </c>
      <c r="AQ40" s="61">
        <f t="shared" si="71"/>
        <v>7.8048003047613473E-2</v>
      </c>
      <c r="AR40" s="111">
        <v>3.5000000000000003E-2</v>
      </c>
      <c r="AS40" s="111">
        <f t="shared" si="72"/>
        <v>3.5000000015470246E-2</v>
      </c>
      <c r="AT40" s="61">
        <f t="shared" si="73"/>
        <v>1.0000000004420069</v>
      </c>
      <c r="AU40" s="110">
        <f t="shared" ref="AU40:AU59" si="79">AR40*AO40</f>
        <v>17972.252864999999</v>
      </c>
      <c r="AV40" s="110">
        <f t="shared" si="74"/>
        <v>1402.6984470000025</v>
      </c>
      <c r="AW40" s="61">
        <f t="shared" si="75"/>
        <v>7.8048003082111239E-2</v>
      </c>
      <c r="AX40" s="110">
        <f t="shared" ref="AX40:AX59" si="80">AO40+AU40</f>
        <v>531465.19186499994</v>
      </c>
      <c r="AY40" s="110">
        <v>41479.796914999999</v>
      </c>
      <c r="AZ40" s="61">
        <f t="shared" si="76"/>
        <v>7.8048003048780068E-2</v>
      </c>
    </row>
    <row r="41" spans="1:52" ht="72" x14ac:dyDescent="0.25">
      <c r="A41" t="s">
        <v>132</v>
      </c>
      <c r="B41" s="93" t="s">
        <v>133</v>
      </c>
      <c r="C41" s="94" t="s">
        <v>52</v>
      </c>
      <c r="D41" s="95">
        <v>44557</v>
      </c>
      <c r="E41" s="95">
        <v>44579</v>
      </c>
      <c r="F41" s="94" t="s">
        <v>72</v>
      </c>
      <c r="G41" s="93" t="s">
        <v>139</v>
      </c>
      <c r="H41" s="93" t="s">
        <v>79</v>
      </c>
      <c r="I41" s="96" t="s">
        <v>136</v>
      </c>
      <c r="J41" s="93" t="s">
        <v>76</v>
      </c>
      <c r="K41" s="96" t="s">
        <v>138</v>
      </c>
      <c r="L41" s="66"/>
      <c r="M41" s="113"/>
      <c r="N41" s="113"/>
      <c r="O41" s="113"/>
      <c r="P41" s="114"/>
      <c r="Q41" s="114"/>
      <c r="R41" s="115"/>
      <c r="S41" s="116"/>
      <c r="T41" s="116"/>
      <c r="U41" s="117"/>
      <c r="V41" s="103">
        <f t="shared" ref="V41" si="81">P40*1.3</f>
        <v>2617807.1399999997</v>
      </c>
      <c r="W41" s="103">
        <v>871536</v>
      </c>
      <c r="X41" s="61">
        <f t="shared" si="62"/>
        <v>0.33292597712144684</v>
      </c>
      <c r="Y41" s="103">
        <f t="shared" si="63"/>
        <v>7853.4214199999988</v>
      </c>
      <c r="Z41" s="103">
        <v>4020</v>
      </c>
      <c r="AA41" s="61">
        <f t="shared" si="64"/>
        <v>0.51187880861231061</v>
      </c>
      <c r="AB41" s="104">
        <v>3.0000000000000001E-3</v>
      </c>
      <c r="AC41" s="104">
        <f t="shared" si="65"/>
        <v>4.6125461254612546E-3</v>
      </c>
      <c r="AD41" s="61">
        <f t="shared" si="66"/>
        <v>1.5375153751537516</v>
      </c>
      <c r="AE41" s="105">
        <f>AH41*V41</f>
        <v>1963355.3549999997</v>
      </c>
      <c r="AF41" s="105">
        <v>704524</v>
      </c>
      <c r="AG41" s="61">
        <f t="shared" si="67"/>
        <v>0.3588367221480393</v>
      </c>
      <c r="AH41" s="106">
        <v>0.75</v>
      </c>
      <c r="AI41" s="107">
        <f t="shared" si="68"/>
        <v>0.80837050907822516</v>
      </c>
      <c r="AJ41" s="61">
        <f t="shared" si="69"/>
        <v>1.0778273454376335</v>
      </c>
      <c r="AK41" s="93" t="s">
        <v>60</v>
      </c>
      <c r="AL41" s="118">
        <v>140</v>
      </c>
      <c r="AM41" s="110">
        <f>AP41/W41*1000</f>
        <v>96.309458843926123</v>
      </c>
      <c r="AN41" s="61">
        <f t="shared" si="70"/>
        <v>0.68792470602804379</v>
      </c>
      <c r="AO41" s="110">
        <f t="shared" ref="AO41:AO59" si="82">AL41*V41/1000</f>
        <v>366492.99959999998</v>
      </c>
      <c r="AP41" s="110">
        <v>83937.160522999999</v>
      </c>
      <c r="AQ41" s="61">
        <f t="shared" si="71"/>
        <v>0.22902800494037051</v>
      </c>
      <c r="AR41" s="111">
        <v>3.5000000000000003E-2</v>
      </c>
      <c r="AS41" s="111">
        <f t="shared" si="72"/>
        <v>3.5000000055934732E-2</v>
      </c>
      <c r="AT41" s="61">
        <f t="shared" si="73"/>
        <v>1.0000000015981352</v>
      </c>
      <c r="AU41" s="110">
        <f t="shared" si="79"/>
        <v>12827.254986</v>
      </c>
      <c r="AV41" s="110">
        <f t="shared" si="74"/>
        <v>2937.8006230000028</v>
      </c>
      <c r="AW41" s="61">
        <f t="shared" si="75"/>
        <v>0.22902800530638823</v>
      </c>
      <c r="AX41" s="110">
        <f t="shared" si="80"/>
        <v>379320.254586</v>
      </c>
      <c r="AY41" s="110">
        <v>86874.961146000001</v>
      </c>
      <c r="AZ41" s="61">
        <f t="shared" si="76"/>
        <v>0.22902800495274789</v>
      </c>
    </row>
    <row r="42" spans="1:52" ht="72" x14ac:dyDescent="0.25">
      <c r="B42" s="93" t="s">
        <v>133</v>
      </c>
      <c r="C42" s="94" t="s">
        <v>52</v>
      </c>
      <c r="D42" s="95">
        <v>44557</v>
      </c>
      <c r="E42" s="95">
        <v>44579</v>
      </c>
      <c r="F42" s="94" t="s">
        <v>72</v>
      </c>
      <c r="G42" s="93" t="s">
        <v>140</v>
      </c>
      <c r="H42" s="93" t="s">
        <v>141</v>
      </c>
      <c r="I42" s="96" t="s">
        <v>136</v>
      </c>
      <c r="J42" s="93" t="s">
        <v>137</v>
      </c>
      <c r="K42" s="96" t="s">
        <v>75</v>
      </c>
      <c r="L42" s="97">
        <v>3910921</v>
      </c>
      <c r="M42" s="98">
        <v>0.6</v>
      </c>
      <c r="N42" s="98">
        <f>Q42/L42</f>
        <v>0.24641842675932343</v>
      </c>
      <c r="O42" s="119">
        <f>N42/M42</f>
        <v>0.41069737793220573</v>
      </c>
      <c r="P42" s="99">
        <f>M42*L42</f>
        <v>2346552.6</v>
      </c>
      <c r="Q42" s="99">
        <v>963723</v>
      </c>
      <c r="R42" s="100">
        <f>Q42/P42</f>
        <v>0.41069737793220573</v>
      </c>
      <c r="S42" s="101">
        <v>3</v>
      </c>
      <c r="T42" s="101">
        <f>SUM(W42:W43)/Q42</f>
        <v>2.2626885526235236</v>
      </c>
      <c r="U42" s="102">
        <f>T42/S42</f>
        <v>0.75422951754117451</v>
      </c>
      <c r="V42" s="103">
        <f t="shared" ref="V42" si="83">P42*1.7</f>
        <v>3989139.42</v>
      </c>
      <c r="W42" s="103">
        <v>1022323</v>
      </c>
      <c r="X42" s="61">
        <f t="shared" si="62"/>
        <v>0.25627657806956267</v>
      </c>
      <c r="Y42" s="103">
        <f t="shared" si="63"/>
        <v>11967.41826</v>
      </c>
      <c r="Z42" s="103">
        <v>4731</v>
      </c>
      <c r="AA42" s="61">
        <f t="shared" si="64"/>
        <v>0.39532336024495229</v>
      </c>
      <c r="AB42" s="104">
        <v>3.0000000000000001E-3</v>
      </c>
      <c r="AC42" s="104">
        <f t="shared" si="65"/>
        <v>4.6276959434542707E-3</v>
      </c>
      <c r="AD42" s="61">
        <f t="shared" si="66"/>
        <v>1.5425653144847569</v>
      </c>
      <c r="AE42" s="105">
        <f t="shared" si="78"/>
        <v>1196741.8259999999</v>
      </c>
      <c r="AF42" s="105">
        <v>267464</v>
      </c>
      <c r="AG42" s="61">
        <f t="shared" si="67"/>
        <v>0.22349348388196139</v>
      </c>
      <c r="AH42" s="106">
        <v>0.3</v>
      </c>
      <c r="AI42" s="120">
        <f t="shared" si="68"/>
        <v>0.26162377252590424</v>
      </c>
      <c r="AJ42" s="61">
        <f t="shared" si="69"/>
        <v>0.87207924175301421</v>
      </c>
      <c r="AK42" s="93" t="s">
        <v>68</v>
      </c>
      <c r="AL42" s="108">
        <v>0.5</v>
      </c>
      <c r="AM42" s="109">
        <f>AP42/AF42</f>
        <v>0.25490244105374932</v>
      </c>
      <c r="AN42" s="61">
        <f t="shared" si="70"/>
        <v>0.50980488210749864</v>
      </c>
      <c r="AO42" s="110">
        <f>AL42*AE42</f>
        <v>598370.91299999994</v>
      </c>
      <c r="AP42" s="110">
        <v>68177.226494000002</v>
      </c>
      <c r="AQ42" s="61">
        <f t="shared" si="71"/>
        <v>0.11393806920223745</v>
      </c>
      <c r="AR42" s="111">
        <v>3.5000000000000003E-2</v>
      </c>
      <c r="AS42" s="111">
        <f t="shared" si="72"/>
        <v>3.5000000010414013E-2</v>
      </c>
      <c r="AT42" s="61">
        <f t="shared" si="73"/>
        <v>1.0000000002975431</v>
      </c>
      <c r="AU42" s="110">
        <f t="shared" si="79"/>
        <v>20942.981954999999</v>
      </c>
      <c r="AV42" s="110">
        <f t="shared" si="74"/>
        <v>2386.2029279999988</v>
      </c>
      <c r="AW42" s="61">
        <f t="shared" si="75"/>
        <v>0.11393806923613896</v>
      </c>
      <c r="AX42" s="110">
        <f t="shared" si="80"/>
        <v>619313.89495499991</v>
      </c>
      <c r="AY42" s="110">
        <v>70563.429422000001</v>
      </c>
      <c r="AZ42" s="61">
        <f t="shared" si="76"/>
        <v>0.1139380692033839</v>
      </c>
    </row>
    <row r="43" spans="1:52" ht="72" x14ac:dyDescent="0.25">
      <c r="B43" s="93" t="s">
        <v>133</v>
      </c>
      <c r="C43" s="94" t="s">
        <v>52</v>
      </c>
      <c r="D43" s="95">
        <v>44557</v>
      </c>
      <c r="E43" s="95">
        <v>44579</v>
      </c>
      <c r="F43" s="94" t="s">
        <v>72</v>
      </c>
      <c r="G43" s="93" t="s">
        <v>140</v>
      </c>
      <c r="H43" s="93" t="s">
        <v>141</v>
      </c>
      <c r="I43" s="96" t="s">
        <v>136</v>
      </c>
      <c r="J43" s="93" t="s">
        <v>76</v>
      </c>
      <c r="K43" s="96" t="s">
        <v>138</v>
      </c>
      <c r="L43" s="112"/>
      <c r="M43" s="113"/>
      <c r="N43" s="113"/>
      <c r="O43" s="121"/>
      <c r="P43" s="114"/>
      <c r="Q43" s="114"/>
      <c r="R43" s="115"/>
      <c r="S43" s="116"/>
      <c r="T43" s="116"/>
      <c r="U43" s="117"/>
      <c r="V43" s="103">
        <f t="shared" ref="V43" si="84">P42*1.3</f>
        <v>3050518.3800000004</v>
      </c>
      <c r="W43" s="103">
        <v>1158282</v>
      </c>
      <c r="X43" s="61">
        <f t="shared" si="62"/>
        <v>0.37970005609341712</v>
      </c>
      <c r="Y43" s="103">
        <f t="shared" si="63"/>
        <v>9151.5551400000004</v>
      </c>
      <c r="Z43" s="103">
        <v>5918</v>
      </c>
      <c r="AA43" s="61">
        <f t="shared" si="64"/>
        <v>0.64666604849850684</v>
      </c>
      <c r="AB43" s="104">
        <v>3.0000000000000001E-3</v>
      </c>
      <c r="AC43" s="104">
        <f t="shared" si="65"/>
        <v>5.1092911743426906E-3</v>
      </c>
      <c r="AD43" s="61">
        <f t="shared" si="66"/>
        <v>1.7030970581142302</v>
      </c>
      <c r="AE43" s="105">
        <f>AH43*V43</f>
        <v>2287888.7850000001</v>
      </c>
      <c r="AF43" s="105">
        <v>926558</v>
      </c>
      <c r="AG43" s="61">
        <f t="shared" si="67"/>
        <v>0.40498384627555223</v>
      </c>
      <c r="AH43" s="106">
        <v>0.75</v>
      </c>
      <c r="AI43" s="107">
        <f t="shared" si="68"/>
        <v>0.79994163770135429</v>
      </c>
      <c r="AJ43" s="61">
        <f t="shared" si="69"/>
        <v>1.0665888502684724</v>
      </c>
      <c r="AK43" s="93" t="s">
        <v>60</v>
      </c>
      <c r="AL43" s="118">
        <v>140</v>
      </c>
      <c r="AM43" s="110">
        <f>AP43/W43*1000</f>
        <v>87.77902001930444</v>
      </c>
      <c r="AN43" s="61">
        <f t="shared" si="70"/>
        <v>0.62699300013788883</v>
      </c>
      <c r="AO43" s="110">
        <f t="shared" si="82"/>
        <v>427072.57320000004</v>
      </c>
      <c r="AP43" s="110">
        <v>101672.858866</v>
      </c>
      <c r="AQ43" s="61">
        <f t="shared" si="71"/>
        <v>0.2380692773225363</v>
      </c>
      <c r="AR43" s="111">
        <v>3.5000000000000003E-2</v>
      </c>
      <c r="AS43" s="111">
        <f t="shared" si="72"/>
        <v>3.500000005596391E-2</v>
      </c>
      <c r="AT43" s="61">
        <f t="shared" si="73"/>
        <v>1.0000000015989687</v>
      </c>
      <c r="AU43" s="110">
        <f t="shared" si="79"/>
        <v>14947.540062000004</v>
      </c>
      <c r="AV43" s="110">
        <f t="shared" si="74"/>
        <v>3558.5500660000107</v>
      </c>
      <c r="AW43" s="61">
        <f t="shared" si="75"/>
        <v>0.23806927770320163</v>
      </c>
      <c r="AX43" s="110">
        <f t="shared" si="80"/>
        <v>442020.11326200003</v>
      </c>
      <c r="AY43" s="110">
        <v>105231.40893200001</v>
      </c>
      <c r="AZ43" s="61">
        <f t="shared" si="76"/>
        <v>0.23806927733540906</v>
      </c>
    </row>
    <row r="44" spans="1:52" ht="72" x14ac:dyDescent="0.25">
      <c r="B44" s="93" t="s">
        <v>133</v>
      </c>
      <c r="C44" s="94" t="s">
        <v>52</v>
      </c>
      <c r="D44" s="95">
        <v>44557</v>
      </c>
      <c r="E44" s="95">
        <v>44579</v>
      </c>
      <c r="F44" s="94" t="s">
        <v>72</v>
      </c>
      <c r="G44" s="93" t="s">
        <v>142</v>
      </c>
      <c r="H44" s="93" t="s">
        <v>80</v>
      </c>
      <c r="I44" s="96" t="s">
        <v>136</v>
      </c>
      <c r="J44" s="93" t="s">
        <v>137</v>
      </c>
      <c r="K44" s="96" t="s">
        <v>75</v>
      </c>
      <c r="L44" s="97">
        <v>3724684</v>
      </c>
      <c r="M44" s="98">
        <v>0.6</v>
      </c>
      <c r="N44" s="98">
        <f>Q44/L44</f>
        <v>0.22914292863501978</v>
      </c>
      <c r="O44" s="119">
        <f>N44/M44</f>
        <v>0.38190488105836634</v>
      </c>
      <c r="P44" s="99">
        <f>M44*L44</f>
        <v>2234810.4</v>
      </c>
      <c r="Q44" s="99">
        <v>853485</v>
      </c>
      <c r="R44" s="100">
        <f>Q44/P44</f>
        <v>0.38190488105836629</v>
      </c>
      <c r="S44" s="101">
        <v>3</v>
      </c>
      <c r="T44" s="101">
        <f>SUM(W44:W45)/Q44</f>
        <v>2.1405226805392013</v>
      </c>
      <c r="U44" s="102">
        <f>T44/S44</f>
        <v>0.71350756017973371</v>
      </c>
      <c r="V44" s="103">
        <f t="shared" ref="V44" si="85">P44*1.7</f>
        <v>3799177.6799999997</v>
      </c>
      <c r="W44" s="103">
        <v>813956</v>
      </c>
      <c r="X44" s="61">
        <f t="shared" si="62"/>
        <v>0.21424531005351666</v>
      </c>
      <c r="Y44" s="103">
        <f t="shared" si="63"/>
        <v>11397.533039999998</v>
      </c>
      <c r="Z44" s="103">
        <v>3100</v>
      </c>
      <c r="AA44" s="61">
        <f t="shared" si="64"/>
        <v>0.27198868291238576</v>
      </c>
      <c r="AB44" s="104">
        <v>3.0000000000000001E-3</v>
      </c>
      <c r="AC44" s="104">
        <f t="shared" si="65"/>
        <v>3.8085596764444269E-3</v>
      </c>
      <c r="AD44" s="61">
        <f t="shared" si="66"/>
        <v>1.2695198921481423</v>
      </c>
      <c r="AE44" s="105">
        <f t="shared" si="78"/>
        <v>1139753.3039999998</v>
      </c>
      <c r="AF44" s="105">
        <v>270398</v>
      </c>
      <c r="AG44" s="61">
        <f t="shared" si="67"/>
        <v>0.23724256736175256</v>
      </c>
      <c r="AH44" s="106">
        <v>0.3</v>
      </c>
      <c r="AI44" s="107">
        <f t="shared" si="68"/>
        <v>0.33220223206168392</v>
      </c>
      <c r="AJ44" s="61">
        <f t="shared" si="69"/>
        <v>1.1073407735389464</v>
      </c>
      <c r="AK44" s="93" t="s">
        <v>68</v>
      </c>
      <c r="AL44" s="108">
        <v>0.5</v>
      </c>
      <c r="AM44" s="109">
        <f>AP44/AF44</f>
        <v>0.2778325381622645</v>
      </c>
      <c r="AN44" s="61">
        <f t="shared" si="70"/>
        <v>0.55566507632452899</v>
      </c>
      <c r="AO44" s="110">
        <f>AL44*AE44</f>
        <v>569876.65199999989</v>
      </c>
      <c r="AP44" s="110">
        <v>75125.362653999997</v>
      </c>
      <c r="AQ44" s="61">
        <f t="shared" si="71"/>
        <v>0.13182740930049547</v>
      </c>
      <c r="AR44" s="111">
        <v>3.5000000000000003E-2</v>
      </c>
      <c r="AS44" s="111">
        <f t="shared" si="72"/>
        <v>3.5000000001464179E-2</v>
      </c>
      <c r="AT44" s="61">
        <f t="shared" si="73"/>
        <v>1.0000000000418336</v>
      </c>
      <c r="AU44" s="110">
        <f t="shared" si="79"/>
        <v>19945.682819999998</v>
      </c>
      <c r="AV44" s="110">
        <f t="shared" si="74"/>
        <v>2629.3876929999969</v>
      </c>
      <c r="AW44" s="61">
        <f t="shared" si="75"/>
        <v>0.13182740930601028</v>
      </c>
      <c r="AX44" s="110">
        <f t="shared" si="80"/>
        <v>589822.33481999987</v>
      </c>
      <c r="AY44" s="110">
        <v>77754.750346999994</v>
      </c>
      <c r="AZ44" s="61">
        <f t="shared" si="76"/>
        <v>0.13182740930068196</v>
      </c>
    </row>
    <row r="45" spans="1:52" ht="72" x14ac:dyDescent="0.25">
      <c r="B45" s="93" t="s">
        <v>133</v>
      </c>
      <c r="C45" s="94" t="s">
        <v>52</v>
      </c>
      <c r="D45" s="95">
        <v>44557</v>
      </c>
      <c r="E45" s="95">
        <v>44579</v>
      </c>
      <c r="F45" s="94" t="s">
        <v>72</v>
      </c>
      <c r="G45" s="93" t="s">
        <v>142</v>
      </c>
      <c r="H45" s="93" t="s">
        <v>80</v>
      </c>
      <c r="I45" s="96" t="s">
        <v>136</v>
      </c>
      <c r="J45" s="93" t="s">
        <v>76</v>
      </c>
      <c r="K45" s="96" t="s">
        <v>138</v>
      </c>
      <c r="L45" s="112"/>
      <c r="M45" s="113"/>
      <c r="N45" s="113"/>
      <c r="O45" s="121"/>
      <c r="P45" s="114"/>
      <c r="Q45" s="114"/>
      <c r="R45" s="115"/>
      <c r="S45" s="116"/>
      <c r="T45" s="116"/>
      <c r="U45" s="117"/>
      <c r="V45" s="103">
        <f t="shared" ref="V45" si="86">P44*1.3</f>
        <v>2905253.52</v>
      </c>
      <c r="W45" s="103">
        <v>1012948</v>
      </c>
      <c r="X45" s="61">
        <f t="shared" si="62"/>
        <v>0.34866079432544667</v>
      </c>
      <c r="Y45" s="103">
        <f t="shared" si="63"/>
        <v>8715.7605600000006</v>
      </c>
      <c r="Z45" s="103">
        <v>4393</v>
      </c>
      <c r="AA45" s="61">
        <f t="shared" si="64"/>
        <v>0.50402944984069176</v>
      </c>
      <c r="AB45" s="104">
        <v>3.0000000000000001E-3</v>
      </c>
      <c r="AC45" s="104">
        <f t="shared" si="65"/>
        <v>4.3368465113707714E-3</v>
      </c>
      <c r="AD45" s="61">
        <f t="shared" si="66"/>
        <v>1.4456155037902572</v>
      </c>
      <c r="AE45" s="105">
        <f>AH45*V45</f>
        <v>2178940.14</v>
      </c>
      <c r="AF45" s="105">
        <v>813405</v>
      </c>
      <c r="AG45" s="61">
        <f t="shared" si="67"/>
        <v>0.37330304998649477</v>
      </c>
      <c r="AH45" s="106">
        <v>0.75</v>
      </c>
      <c r="AI45" s="107">
        <f t="shared" si="68"/>
        <v>0.80300765685898978</v>
      </c>
      <c r="AJ45" s="61">
        <f t="shared" si="69"/>
        <v>1.0706768758119865</v>
      </c>
      <c r="AK45" s="93" t="s">
        <v>60</v>
      </c>
      <c r="AL45" s="118">
        <v>140</v>
      </c>
      <c r="AM45" s="110">
        <f>AP45/W45*1000</f>
        <v>94.596735465196645</v>
      </c>
      <c r="AN45" s="61">
        <f t="shared" si="70"/>
        <v>0.67569096760854741</v>
      </c>
      <c r="AO45" s="110">
        <f t="shared" si="82"/>
        <v>406735.49280000001</v>
      </c>
      <c r="AP45" s="110">
        <v>95821.573996000006</v>
      </c>
      <c r="AQ45" s="61">
        <f t="shared" si="71"/>
        <v>0.23558694948492581</v>
      </c>
      <c r="AR45" s="111">
        <v>3.5000000000000003E-2</v>
      </c>
      <c r="AS45" s="111">
        <f t="shared" si="72"/>
        <v>3.5000000032769235E-2</v>
      </c>
      <c r="AT45" s="61">
        <f t="shared" si="73"/>
        <v>1.0000000009362637</v>
      </c>
      <c r="AU45" s="110">
        <f t="shared" si="79"/>
        <v>14235.742248000002</v>
      </c>
      <c r="AV45" s="110">
        <f t="shared" si="74"/>
        <v>3353.7550929999998</v>
      </c>
      <c r="AW45" s="61">
        <f t="shared" si="75"/>
        <v>0.23558694970549732</v>
      </c>
      <c r="AX45" s="110">
        <f t="shared" si="80"/>
        <v>420971.235048</v>
      </c>
      <c r="AY45" s="110">
        <v>99175.329089000006</v>
      </c>
      <c r="AZ45" s="61">
        <f t="shared" si="76"/>
        <v>0.23558694949238476</v>
      </c>
    </row>
    <row r="46" spans="1:52" ht="72" x14ac:dyDescent="0.25">
      <c r="B46" s="93" t="s">
        <v>133</v>
      </c>
      <c r="C46" s="94" t="s">
        <v>52</v>
      </c>
      <c r="D46" s="95">
        <v>44557</v>
      </c>
      <c r="E46" s="95">
        <v>44579</v>
      </c>
      <c r="F46" s="94" t="s">
        <v>72</v>
      </c>
      <c r="G46" s="93" t="s">
        <v>143</v>
      </c>
      <c r="H46" s="93" t="s">
        <v>78</v>
      </c>
      <c r="I46" s="96" t="s">
        <v>136</v>
      </c>
      <c r="J46" s="93" t="s">
        <v>137</v>
      </c>
      <c r="K46" s="96" t="s">
        <v>75</v>
      </c>
      <c r="L46" s="97">
        <v>1900000</v>
      </c>
      <c r="M46" s="98">
        <v>0.6</v>
      </c>
      <c r="N46" s="98">
        <f>Q46/L46</f>
        <v>0.26701315789473684</v>
      </c>
      <c r="O46" s="98">
        <f>N46/M46</f>
        <v>0.4450219298245614</v>
      </c>
      <c r="P46" s="99">
        <f>M46*L46</f>
        <v>1140000</v>
      </c>
      <c r="Q46" s="99">
        <v>507325</v>
      </c>
      <c r="R46" s="100">
        <f>Q46/P46</f>
        <v>0.4450219298245614</v>
      </c>
      <c r="S46" s="101">
        <v>3</v>
      </c>
      <c r="T46" s="101">
        <f>SUM(W46:W47)/Q46</f>
        <v>2.2322258907012271</v>
      </c>
      <c r="U46" s="102">
        <f>T46/S46</f>
        <v>0.74407529690040908</v>
      </c>
      <c r="V46" s="103">
        <f t="shared" ref="V46" si="87">P46*1.7</f>
        <v>1938000</v>
      </c>
      <c r="W46" s="103">
        <v>473089</v>
      </c>
      <c r="X46" s="61">
        <f t="shared" si="62"/>
        <v>0.24411197110423116</v>
      </c>
      <c r="Y46" s="103">
        <f t="shared" si="63"/>
        <v>5814</v>
      </c>
      <c r="Z46" s="103">
        <v>2199</v>
      </c>
      <c r="AA46" s="61">
        <f t="shared" si="64"/>
        <v>0.3782249742002064</v>
      </c>
      <c r="AB46" s="104">
        <v>3.0000000000000001E-3</v>
      </c>
      <c r="AC46" s="104">
        <f t="shared" si="65"/>
        <v>4.6481740222241484E-3</v>
      </c>
      <c r="AD46" s="61">
        <f t="shared" si="66"/>
        <v>1.5493913407413828</v>
      </c>
      <c r="AE46" s="105">
        <f t="shared" si="78"/>
        <v>581400</v>
      </c>
      <c r="AF46" s="105">
        <v>140901</v>
      </c>
      <c r="AG46" s="61">
        <f t="shared" si="67"/>
        <v>0.24234778121775025</v>
      </c>
      <c r="AH46" s="106">
        <v>0.3</v>
      </c>
      <c r="AI46" s="120">
        <f t="shared" si="68"/>
        <v>0.29783190900655054</v>
      </c>
      <c r="AJ46" s="61">
        <f t="shared" si="69"/>
        <v>0.99277303002183515</v>
      </c>
      <c r="AK46" s="93" t="s">
        <v>68</v>
      </c>
      <c r="AL46" s="108">
        <v>0.5</v>
      </c>
      <c r="AM46" s="109">
        <f>AP46/AF46</f>
        <v>0.25665154550358049</v>
      </c>
      <c r="AN46" s="61">
        <f t="shared" si="70"/>
        <v>0.51330309100716098</v>
      </c>
      <c r="AO46" s="110">
        <f>AL46*AE46</f>
        <v>290700</v>
      </c>
      <c r="AP46" s="110">
        <v>36162.459412999997</v>
      </c>
      <c r="AQ46" s="61">
        <f t="shared" si="71"/>
        <v>0.12439786519779841</v>
      </c>
      <c r="AR46" s="111">
        <v>3.5000000000000003E-2</v>
      </c>
      <c r="AS46" s="111">
        <f t="shared" si="72"/>
        <v>3.5000000015071066E-2</v>
      </c>
      <c r="AT46" s="61">
        <f t="shared" si="73"/>
        <v>1.0000000004306018</v>
      </c>
      <c r="AU46" s="110">
        <f t="shared" si="79"/>
        <v>10174.500000000002</v>
      </c>
      <c r="AV46" s="110">
        <f t="shared" si="74"/>
        <v>1265.6860800000068</v>
      </c>
      <c r="AW46" s="61">
        <f t="shared" si="75"/>
        <v>0.12439786525136434</v>
      </c>
      <c r="AX46" s="110">
        <f t="shared" si="80"/>
        <v>300874.5</v>
      </c>
      <c r="AY46" s="110">
        <v>37428.145493000004</v>
      </c>
      <c r="AZ46" s="61">
        <f t="shared" si="76"/>
        <v>0.12439786519960981</v>
      </c>
    </row>
    <row r="47" spans="1:52" ht="72" x14ac:dyDescent="0.25">
      <c r="B47" s="93" t="s">
        <v>133</v>
      </c>
      <c r="C47" s="94" t="s">
        <v>52</v>
      </c>
      <c r="D47" s="95">
        <v>44557</v>
      </c>
      <c r="E47" s="95">
        <v>44579</v>
      </c>
      <c r="F47" s="94" t="s">
        <v>72</v>
      </c>
      <c r="G47" s="93" t="s">
        <v>143</v>
      </c>
      <c r="H47" s="93" t="s">
        <v>78</v>
      </c>
      <c r="I47" s="96" t="s">
        <v>136</v>
      </c>
      <c r="J47" s="93" t="s">
        <v>76</v>
      </c>
      <c r="K47" s="96" t="s">
        <v>138</v>
      </c>
      <c r="L47" s="112"/>
      <c r="M47" s="113"/>
      <c r="N47" s="113"/>
      <c r="O47" s="113"/>
      <c r="P47" s="114"/>
      <c r="Q47" s="114"/>
      <c r="R47" s="115"/>
      <c r="S47" s="116"/>
      <c r="T47" s="116"/>
      <c r="U47" s="117"/>
      <c r="V47" s="103">
        <f t="shared" ref="V47" si="88">P46*1.3</f>
        <v>1482000</v>
      </c>
      <c r="W47" s="103">
        <v>659375</v>
      </c>
      <c r="X47" s="61">
        <f t="shared" si="62"/>
        <v>0.44492240215924428</v>
      </c>
      <c r="Y47" s="103">
        <f t="shared" si="63"/>
        <v>4446</v>
      </c>
      <c r="Z47" s="103">
        <v>3129</v>
      </c>
      <c r="AA47" s="61">
        <f t="shared" si="64"/>
        <v>0.70377867746288802</v>
      </c>
      <c r="AB47" s="104">
        <v>3.0000000000000001E-3</v>
      </c>
      <c r="AC47" s="104">
        <f t="shared" si="65"/>
        <v>4.7454028436018959E-3</v>
      </c>
      <c r="AD47" s="61">
        <f t="shared" si="66"/>
        <v>1.5818009478672985</v>
      </c>
      <c r="AE47" s="105">
        <f>AH47*V47</f>
        <v>1111500</v>
      </c>
      <c r="AF47" s="105">
        <v>524998</v>
      </c>
      <c r="AG47" s="61">
        <f t="shared" si="67"/>
        <v>0.47233288349077823</v>
      </c>
      <c r="AH47" s="106">
        <v>0.75</v>
      </c>
      <c r="AI47" s="107">
        <f t="shared" si="68"/>
        <v>0.79620549763033177</v>
      </c>
      <c r="AJ47" s="61">
        <f t="shared" si="69"/>
        <v>1.0616073301737756</v>
      </c>
      <c r="AK47" s="93" t="s">
        <v>60</v>
      </c>
      <c r="AL47" s="118">
        <v>140</v>
      </c>
      <c r="AM47" s="110">
        <f>AP47/W47*1000</f>
        <v>82.863825592417058</v>
      </c>
      <c r="AN47" s="61">
        <f t="shared" si="70"/>
        <v>0.59188446851726473</v>
      </c>
      <c r="AO47" s="110">
        <f t="shared" si="82"/>
        <v>207480</v>
      </c>
      <c r="AP47" s="110">
        <v>54638.334999999999</v>
      </c>
      <c r="AQ47" s="61">
        <f t="shared" si="71"/>
        <v>0.26334265953344899</v>
      </c>
      <c r="AR47" s="111">
        <v>3.5000000000000003E-2</v>
      </c>
      <c r="AS47" s="111">
        <f t="shared" si="72"/>
        <v>3.5000000128115195E-2</v>
      </c>
      <c r="AT47" s="61">
        <f t="shared" si="73"/>
        <v>1.000000003660434</v>
      </c>
      <c r="AU47" s="110">
        <f t="shared" si="79"/>
        <v>7261.8000000000011</v>
      </c>
      <c r="AV47" s="110">
        <f t="shared" si="74"/>
        <v>1912.3417320000008</v>
      </c>
      <c r="AW47" s="61">
        <f t="shared" si="75"/>
        <v>0.26334266049739741</v>
      </c>
      <c r="AX47" s="110">
        <f t="shared" si="80"/>
        <v>214741.8</v>
      </c>
      <c r="AY47" s="110">
        <v>56550.676732</v>
      </c>
      <c r="AZ47" s="61">
        <f t="shared" si="76"/>
        <v>0.2633426595660463</v>
      </c>
    </row>
    <row r="48" spans="1:52" ht="72" x14ac:dyDescent="0.25">
      <c r="B48" s="93" t="s">
        <v>133</v>
      </c>
      <c r="C48" s="94" t="s">
        <v>52</v>
      </c>
      <c r="D48" s="95">
        <v>44557</v>
      </c>
      <c r="E48" s="95">
        <v>44579</v>
      </c>
      <c r="F48" s="94" t="s">
        <v>72</v>
      </c>
      <c r="G48" s="93" t="s">
        <v>144</v>
      </c>
      <c r="H48" s="93" t="s">
        <v>109</v>
      </c>
      <c r="I48" s="96" t="s">
        <v>136</v>
      </c>
      <c r="J48" s="93" t="s">
        <v>137</v>
      </c>
      <c r="K48" s="96" t="s">
        <v>75</v>
      </c>
      <c r="L48" s="97">
        <v>1360000</v>
      </c>
      <c r="M48" s="98">
        <v>0.6</v>
      </c>
      <c r="N48" s="98">
        <f>Q48/L48</f>
        <v>0.2693639705882353</v>
      </c>
      <c r="O48" s="98">
        <f>N48/M48</f>
        <v>0.44893995098039219</v>
      </c>
      <c r="P48" s="99">
        <f>M48*L48</f>
        <v>816000</v>
      </c>
      <c r="Q48" s="99">
        <v>366335</v>
      </c>
      <c r="R48" s="100">
        <f>Q48/P48</f>
        <v>0.44893995098039213</v>
      </c>
      <c r="S48" s="101">
        <v>3</v>
      </c>
      <c r="T48" s="101">
        <f>SUM(W48:W49)/Q48</f>
        <v>1.9927962111182387</v>
      </c>
      <c r="U48" s="102">
        <f>T48/S48</f>
        <v>0.66426540370607956</v>
      </c>
      <c r="V48" s="103">
        <f t="shared" ref="V48" si="89">P48*1.7</f>
        <v>1387200</v>
      </c>
      <c r="W48" s="103">
        <v>283085</v>
      </c>
      <c r="X48" s="61">
        <f t="shared" si="62"/>
        <v>0.20406934832756632</v>
      </c>
      <c r="Y48" s="103">
        <f t="shared" si="63"/>
        <v>4161.6000000000004</v>
      </c>
      <c r="Z48" s="103">
        <v>1105</v>
      </c>
      <c r="AA48" s="61">
        <f t="shared" si="64"/>
        <v>0.26552287581699346</v>
      </c>
      <c r="AB48" s="104">
        <v>3.0000000000000001E-3</v>
      </c>
      <c r="AC48" s="104">
        <f t="shared" si="65"/>
        <v>3.903421233905011E-3</v>
      </c>
      <c r="AD48" s="61">
        <f t="shared" si="66"/>
        <v>1.3011404113016702</v>
      </c>
      <c r="AE48" s="105">
        <f t="shared" si="78"/>
        <v>416160</v>
      </c>
      <c r="AF48" s="105">
        <v>93114</v>
      </c>
      <c r="AG48" s="61">
        <f t="shared" si="67"/>
        <v>0.22374567474048443</v>
      </c>
      <c r="AH48" s="106">
        <v>0.3</v>
      </c>
      <c r="AI48" s="107">
        <f t="shared" si="68"/>
        <v>0.32892594097179295</v>
      </c>
      <c r="AJ48" s="61">
        <f t="shared" si="69"/>
        <v>1.09641980323931</v>
      </c>
      <c r="AK48" s="93" t="s">
        <v>68</v>
      </c>
      <c r="AL48" s="108">
        <v>0.5</v>
      </c>
      <c r="AM48" s="109">
        <f>AP48/AF48</f>
        <v>0.25906332256159115</v>
      </c>
      <c r="AN48" s="61">
        <f t="shared" si="70"/>
        <v>0.51812664512318229</v>
      </c>
      <c r="AO48" s="110">
        <f>AL48*AE48</f>
        <v>208080</v>
      </c>
      <c r="AP48" s="110">
        <v>24122.422216999999</v>
      </c>
      <c r="AQ48" s="61">
        <f t="shared" si="71"/>
        <v>0.11592859581410996</v>
      </c>
      <c r="AR48" s="111">
        <v>3.5000000000000003E-2</v>
      </c>
      <c r="AS48" s="111">
        <f t="shared" si="72"/>
        <v>3.5000000016789407E-2</v>
      </c>
      <c r="AT48" s="61">
        <f t="shared" si="73"/>
        <v>1.0000000004796972</v>
      </c>
      <c r="AU48" s="110">
        <f t="shared" si="79"/>
        <v>7282.8000000000011</v>
      </c>
      <c r="AV48" s="110">
        <f t="shared" si="74"/>
        <v>844.2847780000011</v>
      </c>
      <c r="AW48" s="61">
        <f t="shared" si="75"/>
        <v>0.11592859586972057</v>
      </c>
      <c r="AX48" s="110">
        <f t="shared" si="80"/>
        <v>215362.8</v>
      </c>
      <c r="AY48" s="110">
        <v>24966.706995</v>
      </c>
      <c r="AZ48" s="61">
        <f t="shared" si="76"/>
        <v>0.11592859581599052</v>
      </c>
    </row>
    <row r="49" spans="1:52" ht="72" x14ac:dyDescent="0.25">
      <c r="B49" s="93" t="s">
        <v>133</v>
      </c>
      <c r="C49" s="94" t="s">
        <v>52</v>
      </c>
      <c r="D49" s="95">
        <v>44557</v>
      </c>
      <c r="E49" s="95">
        <v>44579</v>
      </c>
      <c r="F49" s="94" t="s">
        <v>72</v>
      </c>
      <c r="G49" s="93" t="s">
        <v>144</v>
      </c>
      <c r="H49" s="93" t="s">
        <v>109</v>
      </c>
      <c r="I49" s="96" t="s">
        <v>136</v>
      </c>
      <c r="J49" s="93" t="s">
        <v>76</v>
      </c>
      <c r="K49" s="96" t="s">
        <v>138</v>
      </c>
      <c r="L49" s="112"/>
      <c r="M49" s="113"/>
      <c r="N49" s="113"/>
      <c r="O49" s="113"/>
      <c r="P49" s="114"/>
      <c r="Q49" s="114"/>
      <c r="R49" s="115"/>
      <c r="S49" s="116"/>
      <c r="T49" s="116"/>
      <c r="U49" s="117"/>
      <c r="V49" s="103">
        <f t="shared" ref="V49" si="90">P48*1.3</f>
        <v>1060800</v>
      </c>
      <c r="W49" s="103">
        <v>446946</v>
      </c>
      <c r="X49" s="61">
        <f t="shared" si="62"/>
        <v>0.42132918552036197</v>
      </c>
      <c r="Y49" s="103">
        <f t="shared" si="63"/>
        <v>3182.4</v>
      </c>
      <c r="Z49" s="103">
        <v>1967</v>
      </c>
      <c r="AA49" s="61">
        <f t="shared" si="64"/>
        <v>0.61808697838109605</v>
      </c>
      <c r="AB49" s="104">
        <v>3.0000000000000001E-3</v>
      </c>
      <c r="AC49" s="104">
        <f t="shared" si="65"/>
        <v>4.4009790891964577E-3</v>
      </c>
      <c r="AD49" s="61">
        <f t="shared" si="66"/>
        <v>1.4669930297321525</v>
      </c>
      <c r="AE49" s="105">
        <f>AH49*V49</f>
        <v>795600</v>
      </c>
      <c r="AF49" s="105">
        <v>340246</v>
      </c>
      <c r="AG49" s="61">
        <f t="shared" si="67"/>
        <v>0.42765962795374562</v>
      </c>
      <c r="AH49" s="106">
        <v>0.75</v>
      </c>
      <c r="AI49" s="107">
        <f t="shared" si="68"/>
        <v>0.76126869912696393</v>
      </c>
      <c r="AJ49" s="61">
        <f t="shared" si="69"/>
        <v>1.0150249321692852</v>
      </c>
      <c r="AK49" s="93" t="s">
        <v>60</v>
      </c>
      <c r="AL49" s="118">
        <v>140</v>
      </c>
      <c r="AM49" s="110">
        <f>AP49/W49*1000</f>
        <v>84.974004682892328</v>
      </c>
      <c r="AN49" s="61">
        <f t="shared" si="70"/>
        <v>0.6069571763063738</v>
      </c>
      <c r="AO49" s="110">
        <f t="shared" si="82"/>
        <v>148512</v>
      </c>
      <c r="AP49" s="110">
        <v>37978.791496999998</v>
      </c>
      <c r="AQ49" s="61">
        <f t="shared" si="71"/>
        <v>0.25572877273890326</v>
      </c>
      <c r="AR49" s="111">
        <v>3.5000000000000003E-2</v>
      </c>
      <c r="AS49" s="111">
        <f t="shared" si="72"/>
        <v>3.5000000068591011E-2</v>
      </c>
      <c r="AT49" s="61">
        <f t="shared" si="73"/>
        <v>1.000000001959743</v>
      </c>
      <c r="AU49" s="110">
        <f t="shared" si="79"/>
        <v>5197.92</v>
      </c>
      <c r="AV49" s="110">
        <f t="shared" si="74"/>
        <v>1329.2577050000036</v>
      </c>
      <c r="AW49" s="61">
        <f t="shared" si="75"/>
        <v>0.25572877324006593</v>
      </c>
      <c r="AX49" s="110">
        <f t="shared" si="80"/>
        <v>153709.92000000001</v>
      </c>
      <c r="AY49" s="110">
        <v>39308.049202000002</v>
      </c>
      <c r="AZ49" s="61">
        <f t="shared" si="76"/>
        <v>0.25572877275585076</v>
      </c>
    </row>
    <row r="50" spans="1:52" ht="84" x14ac:dyDescent="0.25">
      <c r="B50" s="93" t="s">
        <v>133</v>
      </c>
      <c r="C50" s="94" t="s">
        <v>52</v>
      </c>
      <c r="D50" s="95">
        <v>44557</v>
      </c>
      <c r="E50" s="95">
        <v>44579</v>
      </c>
      <c r="F50" s="94" t="s">
        <v>72</v>
      </c>
      <c r="G50" s="93" t="s">
        <v>145</v>
      </c>
      <c r="H50" s="93" t="s">
        <v>146</v>
      </c>
      <c r="I50" s="96" t="s">
        <v>136</v>
      </c>
      <c r="J50" s="93" t="s">
        <v>137</v>
      </c>
      <c r="K50" s="96" t="s">
        <v>75</v>
      </c>
      <c r="L50" s="97">
        <v>4223609</v>
      </c>
      <c r="M50" s="98">
        <v>0.6</v>
      </c>
      <c r="N50" s="98">
        <f>Q50/L50</f>
        <v>0.2672794759173967</v>
      </c>
      <c r="O50" s="98">
        <f>N50/M50</f>
        <v>0.44546579319566121</v>
      </c>
      <c r="P50" s="99">
        <f>M50*L50</f>
        <v>2534165.4</v>
      </c>
      <c r="Q50" s="99">
        <v>1128884</v>
      </c>
      <c r="R50" s="100">
        <f>Q50/P50</f>
        <v>0.44546579319566121</v>
      </c>
      <c r="S50" s="101">
        <v>3</v>
      </c>
      <c r="T50" s="101">
        <f>SUM(W50:W51)/Q50</f>
        <v>3.646148762848973</v>
      </c>
      <c r="U50" s="102">
        <f>T50/S50</f>
        <v>1.2153829209496576</v>
      </c>
      <c r="V50" s="103">
        <f t="shared" ref="V50" si="91">P50*1.7</f>
        <v>4308081.18</v>
      </c>
      <c r="W50" s="103">
        <v>1219508</v>
      </c>
      <c r="X50" s="61">
        <f t="shared" si="62"/>
        <v>0.28307451717982718</v>
      </c>
      <c r="Y50" s="103">
        <f t="shared" si="63"/>
        <v>12924.243539999999</v>
      </c>
      <c r="Z50" s="103">
        <v>6130</v>
      </c>
      <c r="AA50" s="61">
        <f t="shared" si="64"/>
        <v>0.4743024209523678</v>
      </c>
      <c r="AB50" s="104">
        <v>3.0000000000000001E-3</v>
      </c>
      <c r="AC50" s="104">
        <f t="shared" si="65"/>
        <v>5.0266172915634831E-3</v>
      </c>
      <c r="AD50" s="61">
        <f t="shared" si="66"/>
        <v>1.6755390971878277</v>
      </c>
      <c r="AE50" s="105">
        <f t="shared" si="78"/>
        <v>1292424.3539999998</v>
      </c>
      <c r="AF50" s="105">
        <v>305819</v>
      </c>
      <c r="AG50" s="61">
        <f t="shared" si="67"/>
        <v>0.23662429375731189</v>
      </c>
      <c r="AH50" s="106">
        <v>0.3</v>
      </c>
      <c r="AI50" s="120">
        <f t="shared" si="68"/>
        <v>0.25077244265720272</v>
      </c>
      <c r="AJ50" s="61">
        <f t="shared" si="69"/>
        <v>0.83590814219067577</v>
      </c>
      <c r="AK50" s="93" t="s">
        <v>68</v>
      </c>
      <c r="AL50" s="108">
        <v>0.5</v>
      </c>
      <c r="AM50" s="109">
        <f>AP50/AF50</f>
        <v>0.2617670734584836</v>
      </c>
      <c r="AN50" s="61">
        <f t="shared" si="70"/>
        <v>0.5235341469169672</v>
      </c>
      <c r="AO50" s="110">
        <f>AL50*AE50</f>
        <v>646212.17699999991</v>
      </c>
      <c r="AP50" s="110">
        <v>80053.344637999995</v>
      </c>
      <c r="AQ50" s="61">
        <f t="shared" si="71"/>
        <v>0.12388089777206412</v>
      </c>
      <c r="AR50" s="111">
        <v>3.5000000000000003E-2</v>
      </c>
      <c r="AS50" s="111">
        <f t="shared" si="72"/>
        <v>3.5000000008369392E-2</v>
      </c>
      <c r="AT50" s="61">
        <f t="shared" si="73"/>
        <v>1.0000000002391254</v>
      </c>
      <c r="AU50" s="110">
        <f t="shared" si="79"/>
        <v>22617.426195</v>
      </c>
      <c r="AV50" s="110">
        <f t="shared" si="74"/>
        <v>2801.8670629999979</v>
      </c>
      <c r="AW50" s="61">
        <f t="shared" si="75"/>
        <v>0.12388089780168719</v>
      </c>
      <c r="AX50" s="110">
        <f t="shared" si="80"/>
        <v>668829.60319499986</v>
      </c>
      <c r="AY50" s="110">
        <v>82855.211700999993</v>
      </c>
      <c r="AZ50" s="61">
        <f t="shared" si="76"/>
        <v>0.12388089777306588</v>
      </c>
    </row>
    <row r="51" spans="1:52" ht="84" x14ac:dyDescent="0.25">
      <c r="B51" s="93" t="s">
        <v>133</v>
      </c>
      <c r="C51" s="94" t="s">
        <v>52</v>
      </c>
      <c r="D51" s="95">
        <v>44557</v>
      </c>
      <c r="E51" s="95">
        <v>44579</v>
      </c>
      <c r="F51" s="94" t="s">
        <v>72</v>
      </c>
      <c r="G51" s="93" t="s">
        <v>145</v>
      </c>
      <c r="H51" s="93" t="s">
        <v>146</v>
      </c>
      <c r="I51" s="96" t="s">
        <v>136</v>
      </c>
      <c r="J51" s="93" t="s">
        <v>76</v>
      </c>
      <c r="K51" s="96" t="s">
        <v>138</v>
      </c>
      <c r="L51" s="112"/>
      <c r="M51" s="113"/>
      <c r="N51" s="113"/>
      <c r="O51" s="113"/>
      <c r="P51" s="114"/>
      <c r="Q51" s="114"/>
      <c r="R51" s="115"/>
      <c r="S51" s="116"/>
      <c r="T51" s="116"/>
      <c r="U51" s="117"/>
      <c r="V51" s="103">
        <f t="shared" ref="V51" si="92">P50*1.3</f>
        <v>3294415.02</v>
      </c>
      <c r="W51" s="103">
        <v>2896571</v>
      </c>
      <c r="X51" s="61">
        <f t="shared" si="62"/>
        <v>0.87923682426630023</v>
      </c>
      <c r="Y51" s="103">
        <f t="shared" si="63"/>
        <v>9883.2450600000011</v>
      </c>
      <c r="Z51" s="103">
        <v>15523</v>
      </c>
      <c r="AA51" s="61">
        <f t="shared" si="64"/>
        <v>1.5706379742444632</v>
      </c>
      <c r="AB51" s="104">
        <v>3.0000000000000001E-3</v>
      </c>
      <c r="AC51" s="104">
        <f t="shared" si="65"/>
        <v>5.3590952888777797E-3</v>
      </c>
      <c r="AD51" s="61">
        <f t="shared" si="66"/>
        <v>1.7863650962925932</v>
      </c>
      <c r="AE51" s="105">
        <f>AH51*V51</f>
        <v>2470811.2650000001</v>
      </c>
      <c r="AF51" s="105">
        <v>2363470</v>
      </c>
      <c r="AG51" s="61">
        <f t="shared" si="67"/>
        <v>0.95655626695550133</v>
      </c>
      <c r="AH51" s="106">
        <v>0.75</v>
      </c>
      <c r="AI51" s="107">
        <f t="shared" si="68"/>
        <v>0.81595445096978458</v>
      </c>
      <c r="AJ51" s="61">
        <f t="shared" si="69"/>
        <v>1.0879392679597129</v>
      </c>
      <c r="AK51" s="93" t="s">
        <v>60</v>
      </c>
      <c r="AL51" s="118">
        <v>140</v>
      </c>
      <c r="AM51" s="110">
        <f>AP51/W51*1000</f>
        <v>70.1113406203404</v>
      </c>
      <c r="AN51" s="61">
        <f t="shared" si="70"/>
        <v>0.50079529014528856</v>
      </c>
      <c r="AO51" s="110">
        <f t="shared" si="82"/>
        <v>461218.10279999999</v>
      </c>
      <c r="AP51" s="110">
        <v>203082.476012</v>
      </c>
      <c r="AQ51" s="61">
        <f t="shared" si="71"/>
        <v>0.44031766051486393</v>
      </c>
      <c r="AR51" s="111">
        <v>3.5000000000000003E-2</v>
      </c>
      <c r="AS51" s="111">
        <f t="shared" si="72"/>
        <v>3.5000000032400697E-2</v>
      </c>
      <c r="AT51" s="61">
        <f t="shared" si="73"/>
        <v>1.0000000009257342</v>
      </c>
      <c r="AU51" s="110">
        <f t="shared" si="79"/>
        <v>16142.633598000002</v>
      </c>
      <c r="AV51" s="110">
        <f t="shared" si="74"/>
        <v>7107.8866670000134</v>
      </c>
      <c r="AW51" s="61">
        <f t="shared" si="75"/>
        <v>0.44031766092248092</v>
      </c>
      <c r="AX51" s="110">
        <f t="shared" si="80"/>
        <v>477360.73639799998</v>
      </c>
      <c r="AY51" s="110">
        <v>210190.36267900001</v>
      </c>
      <c r="AZ51" s="61">
        <f t="shared" si="76"/>
        <v>0.44031766052864807</v>
      </c>
    </row>
    <row r="52" spans="1:52" ht="72" x14ac:dyDescent="0.25">
      <c r="B52" s="93" t="s">
        <v>133</v>
      </c>
      <c r="C52" s="94" t="s">
        <v>52</v>
      </c>
      <c r="D52" s="95">
        <v>44557</v>
      </c>
      <c r="E52" s="95">
        <v>44579</v>
      </c>
      <c r="F52" s="94" t="s">
        <v>72</v>
      </c>
      <c r="G52" s="93" t="s">
        <v>147</v>
      </c>
      <c r="H52" s="93" t="s">
        <v>148</v>
      </c>
      <c r="I52" s="96" t="s">
        <v>136</v>
      </c>
      <c r="J52" s="93" t="s">
        <v>137</v>
      </c>
      <c r="K52" s="96" t="s">
        <v>75</v>
      </c>
      <c r="L52" s="97">
        <v>1180714</v>
      </c>
      <c r="M52" s="98">
        <v>0.6</v>
      </c>
      <c r="N52" s="98">
        <f>Q52/L52</f>
        <v>0.23051729716087047</v>
      </c>
      <c r="O52" s="98">
        <f>N52/M52</f>
        <v>0.38419549526811747</v>
      </c>
      <c r="P52" s="99">
        <f>M52*L52</f>
        <v>708428.4</v>
      </c>
      <c r="Q52" s="99">
        <v>272175</v>
      </c>
      <c r="R52" s="100">
        <f>Q52/P52</f>
        <v>0.38419549526811742</v>
      </c>
      <c r="S52" s="101">
        <v>3</v>
      </c>
      <c r="T52" s="101">
        <f>SUM(W52:W53)/Q52</f>
        <v>2.5254854413520711</v>
      </c>
      <c r="U52" s="102">
        <f>T52/S52</f>
        <v>0.84182848045069036</v>
      </c>
      <c r="V52" s="103">
        <f t="shared" ref="V52" si="93">P52*1.7</f>
        <v>1204328.28</v>
      </c>
      <c r="W52" s="103">
        <v>230534</v>
      </c>
      <c r="X52" s="61">
        <f t="shared" si="62"/>
        <v>0.19142122943422038</v>
      </c>
      <c r="Y52" s="103">
        <f t="shared" si="63"/>
        <v>3612.9848400000001</v>
      </c>
      <c r="Z52" s="103">
        <v>1085</v>
      </c>
      <c r="AA52" s="61">
        <f t="shared" si="64"/>
        <v>0.30030571620112306</v>
      </c>
      <c r="AB52" s="104">
        <v>3.0000000000000001E-3</v>
      </c>
      <c r="AC52" s="104">
        <f t="shared" si="65"/>
        <v>4.7064641224287959E-3</v>
      </c>
      <c r="AD52" s="61">
        <f t="shared" si="66"/>
        <v>1.568821374142932</v>
      </c>
      <c r="AE52" s="105">
        <f t="shared" ref="AE52:AE58" si="94">AH52*V52</f>
        <v>361298.484</v>
      </c>
      <c r="AF52" s="105">
        <v>83218</v>
      </c>
      <c r="AG52" s="61">
        <f t="shared" si="67"/>
        <v>0.23033033263433234</v>
      </c>
      <c r="AH52" s="106">
        <v>0.3</v>
      </c>
      <c r="AI52" s="107">
        <f t="shared" si="68"/>
        <v>0.36097929155786129</v>
      </c>
      <c r="AJ52" s="61">
        <f t="shared" si="69"/>
        <v>1.2032643051928711</v>
      </c>
      <c r="AK52" s="93" t="s">
        <v>68</v>
      </c>
      <c r="AL52" s="108">
        <v>0.5</v>
      </c>
      <c r="AM52" s="109">
        <f>AP52/AF52</f>
        <v>0.23692103972698214</v>
      </c>
      <c r="AN52" s="61">
        <f t="shared" si="70"/>
        <v>0.47384207945396428</v>
      </c>
      <c r="AO52" s="110">
        <f>AL52*AE52</f>
        <v>180649.242</v>
      </c>
      <c r="AP52" s="110">
        <v>19716.095084</v>
      </c>
      <c r="AQ52" s="61">
        <f t="shared" si="71"/>
        <v>0.10914020377677533</v>
      </c>
      <c r="AR52" s="111">
        <v>3.5000000000000003E-2</v>
      </c>
      <c r="AS52" s="111">
        <f t="shared" si="72"/>
        <v>3.5000000003043208E-2</v>
      </c>
      <c r="AT52" s="61">
        <f t="shared" si="73"/>
        <v>1.0000000000869487</v>
      </c>
      <c r="AU52" s="110">
        <f t="shared" si="79"/>
        <v>6322.7234700000008</v>
      </c>
      <c r="AV52" s="110">
        <f t="shared" si="74"/>
        <v>690.06332800000018</v>
      </c>
      <c r="AW52" s="61">
        <f t="shared" si="75"/>
        <v>0.10914020378626492</v>
      </c>
      <c r="AX52" s="110">
        <f t="shared" si="80"/>
        <v>186971.96547</v>
      </c>
      <c r="AY52" s="110">
        <v>20406.158412000001</v>
      </c>
      <c r="AZ52" s="61">
        <f t="shared" si="76"/>
        <v>0.10914020377709624</v>
      </c>
    </row>
    <row r="53" spans="1:52" ht="72" x14ac:dyDescent="0.25">
      <c r="B53" s="93" t="s">
        <v>133</v>
      </c>
      <c r="C53" s="94" t="s">
        <v>52</v>
      </c>
      <c r="D53" s="95">
        <v>44557</v>
      </c>
      <c r="E53" s="95">
        <v>44579</v>
      </c>
      <c r="F53" s="94" t="s">
        <v>72</v>
      </c>
      <c r="G53" s="93" t="s">
        <v>147</v>
      </c>
      <c r="H53" s="93" t="s">
        <v>148</v>
      </c>
      <c r="I53" s="96" t="s">
        <v>136</v>
      </c>
      <c r="J53" s="93" t="s">
        <v>76</v>
      </c>
      <c r="K53" s="96" t="s">
        <v>138</v>
      </c>
      <c r="L53" s="112"/>
      <c r="M53" s="113"/>
      <c r="N53" s="113"/>
      <c r="O53" s="113"/>
      <c r="P53" s="114"/>
      <c r="Q53" s="114"/>
      <c r="R53" s="115"/>
      <c r="S53" s="116"/>
      <c r="T53" s="116"/>
      <c r="U53" s="117"/>
      <c r="V53" s="103">
        <f t="shared" ref="V53" si="95">P52*1.3</f>
        <v>920956.92</v>
      </c>
      <c r="W53" s="103">
        <v>456840</v>
      </c>
      <c r="X53" s="61">
        <f t="shared" si="62"/>
        <v>0.49604926145731115</v>
      </c>
      <c r="Y53" s="103">
        <f t="shared" si="63"/>
        <v>2762.8707600000002</v>
      </c>
      <c r="Z53" s="103">
        <v>2310</v>
      </c>
      <c r="AA53" s="61">
        <f t="shared" si="64"/>
        <v>0.83608688232669981</v>
      </c>
      <c r="AB53" s="104">
        <v>3.0000000000000001E-3</v>
      </c>
      <c r="AC53" s="104">
        <f t="shared" si="65"/>
        <v>5.0564749146309431E-3</v>
      </c>
      <c r="AD53" s="61">
        <f t="shared" si="66"/>
        <v>1.6854916382103142</v>
      </c>
      <c r="AE53" s="105">
        <f>AH53*V53</f>
        <v>690717.69000000006</v>
      </c>
      <c r="AF53" s="105">
        <v>351602</v>
      </c>
      <c r="AG53" s="61">
        <f t="shared" si="67"/>
        <v>0.50903864935035903</v>
      </c>
      <c r="AH53" s="106">
        <v>0.75</v>
      </c>
      <c r="AI53" s="107">
        <f t="shared" si="68"/>
        <v>0.76963926101041935</v>
      </c>
      <c r="AJ53" s="61">
        <f t="shared" si="69"/>
        <v>1.0261856813472259</v>
      </c>
      <c r="AK53" s="93" t="s">
        <v>60</v>
      </c>
      <c r="AL53" s="118">
        <v>140</v>
      </c>
      <c r="AM53" s="110">
        <f>AP53/W53*1000</f>
        <v>78.522947994921637</v>
      </c>
      <c r="AN53" s="61">
        <f t="shared" si="70"/>
        <v>0.56087819996372601</v>
      </c>
      <c r="AO53" s="110">
        <f t="shared" si="82"/>
        <v>128933.96880000002</v>
      </c>
      <c r="AP53" s="110">
        <v>35872.423562000004</v>
      </c>
      <c r="AQ53" s="61">
        <f t="shared" si="71"/>
        <v>0.27822321685951235</v>
      </c>
      <c r="AR53" s="111">
        <v>3.5000000000000003E-2</v>
      </c>
      <c r="AS53" s="111">
        <f t="shared" si="72"/>
        <v>3.5000000232211739E-2</v>
      </c>
      <c r="AT53" s="61">
        <f t="shared" si="73"/>
        <v>1.0000000066346211</v>
      </c>
      <c r="AU53" s="110">
        <f t="shared" si="79"/>
        <v>4512.688908000001</v>
      </c>
      <c r="AV53" s="110">
        <f t="shared" si="74"/>
        <v>1255.5348329999979</v>
      </c>
      <c r="AW53" s="61">
        <f t="shared" si="75"/>
        <v>0.27822321870541794</v>
      </c>
      <c r="AX53" s="110">
        <f t="shared" si="80"/>
        <v>133446.65770800001</v>
      </c>
      <c r="AY53" s="110">
        <v>37127.958395000001</v>
      </c>
      <c r="AZ53" s="61">
        <f t="shared" si="76"/>
        <v>0.2782232169219343</v>
      </c>
    </row>
    <row r="54" spans="1:52" ht="84" x14ac:dyDescent="0.25">
      <c r="B54" s="93" t="s">
        <v>133</v>
      </c>
      <c r="C54" s="94" t="s">
        <v>52</v>
      </c>
      <c r="D54" s="95">
        <v>44557</v>
      </c>
      <c r="E54" s="95">
        <v>44579</v>
      </c>
      <c r="F54" s="94" t="s">
        <v>72</v>
      </c>
      <c r="G54" s="93" t="s">
        <v>149</v>
      </c>
      <c r="H54" s="93" t="s">
        <v>150</v>
      </c>
      <c r="I54" s="96" t="s">
        <v>136</v>
      </c>
      <c r="J54" s="93" t="s">
        <v>137</v>
      </c>
      <c r="K54" s="96" t="s">
        <v>75</v>
      </c>
      <c r="L54" s="97">
        <v>3521335</v>
      </c>
      <c r="M54" s="98">
        <v>0.6</v>
      </c>
      <c r="N54" s="98">
        <f>Q54/L54</f>
        <v>0.22798682885894128</v>
      </c>
      <c r="O54" s="98">
        <f>N54/M54</f>
        <v>0.37997804809823549</v>
      </c>
      <c r="P54" s="99">
        <f>M54*L54</f>
        <v>2112801</v>
      </c>
      <c r="Q54" s="99">
        <v>802818</v>
      </c>
      <c r="R54" s="100">
        <f>Q54/P54</f>
        <v>0.37997804809823549</v>
      </c>
      <c r="S54" s="101">
        <v>3</v>
      </c>
      <c r="T54" s="101">
        <f>SUM(W54:W55)/Q54</f>
        <v>2.4951819715053722</v>
      </c>
      <c r="U54" s="102">
        <f>T54/S54</f>
        <v>0.83172732383512404</v>
      </c>
      <c r="V54" s="103">
        <f t="shared" ref="V54" si="96">P54*1.7</f>
        <v>3591761.6999999997</v>
      </c>
      <c r="W54" s="103">
        <v>712868</v>
      </c>
      <c r="X54" s="61">
        <f t="shared" si="62"/>
        <v>0.1984730779884423</v>
      </c>
      <c r="Y54" s="103">
        <f t="shared" si="63"/>
        <v>10775.285099999999</v>
      </c>
      <c r="Z54" s="103">
        <v>4024</v>
      </c>
      <c r="AA54" s="61">
        <f t="shared" si="64"/>
        <v>0.37344719537861698</v>
      </c>
      <c r="AB54" s="104">
        <v>3.0000000000000001E-3</v>
      </c>
      <c r="AC54" s="104">
        <f t="shared" si="65"/>
        <v>5.6448038065953308E-3</v>
      </c>
      <c r="AD54" s="61">
        <f t="shared" si="66"/>
        <v>1.8816012688651103</v>
      </c>
      <c r="AE54" s="105">
        <f t="shared" si="94"/>
        <v>1077528.5099999998</v>
      </c>
      <c r="AF54" s="105">
        <v>176067</v>
      </c>
      <c r="AG54" s="61">
        <f t="shared" si="67"/>
        <v>0.16339892482288013</v>
      </c>
      <c r="AH54" s="106">
        <v>0.3</v>
      </c>
      <c r="AI54" s="120">
        <f t="shared" si="68"/>
        <v>0.24698401387073063</v>
      </c>
      <c r="AJ54" s="61">
        <f t="shared" si="69"/>
        <v>0.82328004623576878</v>
      </c>
      <c r="AK54" s="93" t="s">
        <v>68</v>
      </c>
      <c r="AL54" s="108">
        <v>0.5</v>
      </c>
      <c r="AM54" s="109">
        <f>AP54/AF54</f>
        <v>0.26409805851749618</v>
      </c>
      <c r="AN54" s="61">
        <f t="shared" si="70"/>
        <v>0.52819611703499236</v>
      </c>
      <c r="AO54" s="110">
        <f>AL54*AE54</f>
        <v>538764.25499999989</v>
      </c>
      <c r="AP54" s="110">
        <v>46498.952869000001</v>
      </c>
      <c r="AQ54" s="61">
        <f t="shared" si="71"/>
        <v>8.6306677619137906E-2</v>
      </c>
      <c r="AR54" s="111">
        <v>3.5000000000000003E-2</v>
      </c>
      <c r="AS54" s="111">
        <f t="shared" si="72"/>
        <v>3.5000000012580898E-2</v>
      </c>
      <c r="AT54" s="61">
        <f t="shared" si="73"/>
        <v>1.0000000003594542</v>
      </c>
      <c r="AU54" s="110">
        <f t="shared" si="79"/>
        <v>18856.748924999996</v>
      </c>
      <c r="AV54" s="110">
        <f t="shared" si="74"/>
        <v>1627.4633509999985</v>
      </c>
      <c r="AW54" s="61">
        <f t="shared" si="75"/>
        <v>8.6306677650161201E-2</v>
      </c>
      <c r="AX54" s="110">
        <f t="shared" si="80"/>
        <v>557621.00392499985</v>
      </c>
      <c r="AY54" s="110">
        <v>48126.416219999999</v>
      </c>
      <c r="AZ54" s="61">
        <f t="shared" si="76"/>
        <v>8.6306677620187011E-2</v>
      </c>
    </row>
    <row r="55" spans="1:52" ht="84" x14ac:dyDescent="0.25">
      <c r="B55" s="93" t="s">
        <v>133</v>
      </c>
      <c r="C55" s="94" t="s">
        <v>52</v>
      </c>
      <c r="D55" s="95">
        <v>44557</v>
      </c>
      <c r="E55" s="95">
        <v>44579</v>
      </c>
      <c r="F55" s="94" t="s">
        <v>72</v>
      </c>
      <c r="G55" s="93" t="s">
        <v>149</v>
      </c>
      <c r="H55" s="93" t="s">
        <v>150</v>
      </c>
      <c r="I55" s="96" t="s">
        <v>136</v>
      </c>
      <c r="J55" s="93" t="s">
        <v>76</v>
      </c>
      <c r="K55" s="96" t="s">
        <v>138</v>
      </c>
      <c r="L55" s="112"/>
      <c r="M55" s="113"/>
      <c r="N55" s="113"/>
      <c r="O55" s="113"/>
      <c r="P55" s="114"/>
      <c r="Q55" s="114"/>
      <c r="R55" s="115"/>
      <c r="S55" s="116"/>
      <c r="T55" s="116"/>
      <c r="U55" s="117"/>
      <c r="V55" s="103">
        <f t="shared" ref="V55" si="97">P54*1.3</f>
        <v>2746641.3000000003</v>
      </c>
      <c r="W55" s="103">
        <v>1290309</v>
      </c>
      <c r="X55" s="61">
        <f t="shared" si="62"/>
        <v>0.46977703277089727</v>
      </c>
      <c r="Y55" s="103">
        <f t="shared" si="63"/>
        <v>8239.9239000000016</v>
      </c>
      <c r="Z55" s="103">
        <v>7790</v>
      </c>
      <c r="AA55" s="61">
        <f t="shared" si="64"/>
        <v>0.94539708066964045</v>
      </c>
      <c r="AB55" s="104">
        <v>3.0000000000000001E-3</v>
      </c>
      <c r="AC55" s="104">
        <f t="shared" si="65"/>
        <v>6.0373135427250375E-3</v>
      </c>
      <c r="AD55" s="61">
        <f t="shared" si="66"/>
        <v>2.0124378475750127</v>
      </c>
      <c r="AE55" s="105">
        <f>AH55*V55</f>
        <v>2059980.9750000001</v>
      </c>
      <c r="AF55" s="105">
        <v>1063274</v>
      </c>
      <c r="AG55" s="61">
        <f t="shared" si="67"/>
        <v>0.51615719412165928</v>
      </c>
      <c r="AH55" s="106">
        <v>0.75</v>
      </c>
      <c r="AI55" s="107">
        <f t="shared" si="68"/>
        <v>0.82404602308439301</v>
      </c>
      <c r="AJ55" s="61">
        <f t="shared" si="69"/>
        <v>1.0987280307791907</v>
      </c>
      <c r="AK55" s="93" t="s">
        <v>60</v>
      </c>
      <c r="AL55" s="118">
        <v>140</v>
      </c>
      <c r="AM55" s="110">
        <f>AP55/W55*1000</f>
        <v>78.605332711001765</v>
      </c>
      <c r="AN55" s="61">
        <f t="shared" si="70"/>
        <v>0.56146666222144115</v>
      </c>
      <c r="AO55" s="110">
        <f t="shared" si="82"/>
        <v>384529.78200000006</v>
      </c>
      <c r="AP55" s="110">
        <v>101425.16824499999</v>
      </c>
      <c r="AQ55" s="61">
        <f t="shared" si="71"/>
        <v>0.26376414257816833</v>
      </c>
      <c r="AR55" s="111">
        <v>3.5000000000000003E-2</v>
      </c>
      <c r="AS55" s="111">
        <f t="shared" si="72"/>
        <v>3.5000000152082621E-2</v>
      </c>
      <c r="AT55" s="61">
        <f t="shared" si="73"/>
        <v>1.0000000043452177</v>
      </c>
      <c r="AU55" s="110">
        <f t="shared" si="79"/>
        <v>13458.542370000003</v>
      </c>
      <c r="AV55" s="110">
        <f t="shared" si="74"/>
        <v>3549.8809040000051</v>
      </c>
      <c r="AW55" s="61">
        <f t="shared" si="75"/>
        <v>0.26376414372428092</v>
      </c>
      <c r="AX55" s="110">
        <f t="shared" si="80"/>
        <v>397988.32437000005</v>
      </c>
      <c r="AY55" s="110">
        <v>104975.049149</v>
      </c>
      <c r="AZ55" s="61">
        <f t="shared" si="76"/>
        <v>0.26376414261692577</v>
      </c>
    </row>
    <row r="56" spans="1:52" ht="84" x14ac:dyDescent="0.25">
      <c r="B56" s="93" t="s">
        <v>133</v>
      </c>
      <c r="C56" s="94" t="s">
        <v>52</v>
      </c>
      <c r="D56" s="95">
        <v>44557</v>
      </c>
      <c r="E56" s="95">
        <v>44579</v>
      </c>
      <c r="F56" s="94" t="s">
        <v>72</v>
      </c>
      <c r="G56" s="93" t="s">
        <v>151</v>
      </c>
      <c r="H56" s="93" t="s">
        <v>87</v>
      </c>
      <c r="I56" s="96" t="s">
        <v>136</v>
      </c>
      <c r="J56" s="93" t="s">
        <v>137</v>
      </c>
      <c r="K56" s="96" t="s">
        <v>75</v>
      </c>
      <c r="L56" s="97">
        <v>3073908</v>
      </c>
      <c r="M56" s="98">
        <v>0.6</v>
      </c>
      <c r="N56" s="98">
        <f>Q56/L56</f>
        <v>0.25430006363235336</v>
      </c>
      <c r="O56" s="98">
        <f>N56/M56</f>
        <v>0.42383343938725559</v>
      </c>
      <c r="P56" s="99">
        <f>M56*L56</f>
        <v>1844344.8</v>
      </c>
      <c r="Q56" s="99">
        <v>781695</v>
      </c>
      <c r="R56" s="100">
        <f>Q56/P56</f>
        <v>0.42383343938725554</v>
      </c>
      <c r="S56" s="101">
        <v>3</v>
      </c>
      <c r="T56" s="101">
        <f>SUM(W56:W57)/Q56</f>
        <v>3.2216004963572749</v>
      </c>
      <c r="U56" s="102">
        <f>T56/S56</f>
        <v>1.0738668321190916</v>
      </c>
      <c r="V56" s="103">
        <f t="shared" ref="V56" si="98">P56*1.7</f>
        <v>3135386.16</v>
      </c>
      <c r="W56" s="103">
        <v>1352991</v>
      </c>
      <c r="X56" s="61">
        <f t="shared" si="62"/>
        <v>0.43152292284150412</v>
      </c>
      <c r="Y56" s="103">
        <f t="shared" si="63"/>
        <v>9406.1584800000001</v>
      </c>
      <c r="Z56" s="103">
        <v>8710</v>
      </c>
      <c r="AA56" s="61">
        <f t="shared" si="64"/>
        <v>0.92598907604201874</v>
      </c>
      <c r="AB56" s="104">
        <v>3.0000000000000001E-3</v>
      </c>
      <c r="AC56" s="104">
        <f t="shared" si="65"/>
        <v>6.4375890157436378E-3</v>
      </c>
      <c r="AD56" s="61">
        <f t="shared" si="66"/>
        <v>2.1458630052478793</v>
      </c>
      <c r="AE56" s="105">
        <f t="shared" si="94"/>
        <v>940615.848</v>
      </c>
      <c r="AF56" s="105">
        <v>337886</v>
      </c>
      <c r="AG56" s="61">
        <f t="shared" si="67"/>
        <v>0.35921784724171479</v>
      </c>
      <c r="AH56" s="106">
        <v>0.3</v>
      </c>
      <c r="AI56" s="120">
        <f t="shared" si="68"/>
        <v>0.24973262941142993</v>
      </c>
      <c r="AJ56" s="61">
        <f t="shared" si="69"/>
        <v>0.83244209803809976</v>
      </c>
      <c r="AK56" s="93" t="s">
        <v>68</v>
      </c>
      <c r="AL56" s="108">
        <v>0.5</v>
      </c>
      <c r="AM56" s="109">
        <f>AP56/AF56</f>
        <v>0.2664986151838194</v>
      </c>
      <c r="AN56" s="61">
        <f t="shared" si="70"/>
        <v>0.5329972303676388</v>
      </c>
      <c r="AO56" s="110">
        <f>AL56*AE56</f>
        <v>470307.924</v>
      </c>
      <c r="AP56" s="110">
        <v>90046.151089999999</v>
      </c>
      <c r="AQ56" s="61">
        <f t="shared" si="71"/>
        <v>0.19146211767845953</v>
      </c>
      <c r="AR56" s="111">
        <v>3.5000000000000003E-2</v>
      </c>
      <c r="AS56" s="111">
        <f t="shared" si="72"/>
        <v>3.4999999998334197E-2</v>
      </c>
      <c r="AT56" s="61">
        <f t="shared" si="73"/>
        <v>0.99999999995240552</v>
      </c>
      <c r="AU56" s="110">
        <f t="shared" si="79"/>
        <v>16460.777340000001</v>
      </c>
      <c r="AV56" s="110">
        <f t="shared" si="74"/>
        <v>3151.6152880000009</v>
      </c>
      <c r="AW56" s="61">
        <f t="shared" si="75"/>
        <v>0.19146211766934701</v>
      </c>
      <c r="AX56" s="110">
        <f t="shared" si="80"/>
        <v>486768.70134000003</v>
      </c>
      <c r="AY56" s="110">
        <v>93197.766378</v>
      </c>
      <c r="AZ56" s="61">
        <f t="shared" si="76"/>
        <v>0.19146211767815136</v>
      </c>
    </row>
    <row r="57" spans="1:52" ht="84" x14ac:dyDescent="0.25">
      <c r="B57" s="93" t="s">
        <v>133</v>
      </c>
      <c r="C57" s="94" t="s">
        <v>52</v>
      </c>
      <c r="D57" s="95">
        <v>44557</v>
      </c>
      <c r="E57" s="95">
        <v>44579</v>
      </c>
      <c r="F57" s="94" t="s">
        <v>72</v>
      </c>
      <c r="G57" s="93" t="s">
        <v>151</v>
      </c>
      <c r="H57" s="93" t="s">
        <v>87</v>
      </c>
      <c r="I57" s="96" t="s">
        <v>136</v>
      </c>
      <c r="J57" s="93" t="s">
        <v>76</v>
      </c>
      <c r="K57" s="96" t="s">
        <v>138</v>
      </c>
      <c r="L57" s="112"/>
      <c r="M57" s="113"/>
      <c r="N57" s="113"/>
      <c r="O57" s="113"/>
      <c r="P57" s="114"/>
      <c r="Q57" s="114"/>
      <c r="R57" s="115"/>
      <c r="S57" s="116"/>
      <c r="T57" s="116"/>
      <c r="U57" s="117"/>
      <c r="V57" s="103">
        <f t="shared" ref="V57" si="99">P56*1.3</f>
        <v>2397648.2400000002</v>
      </c>
      <c r="W57" s="103">
        <v>1165318</v>
      </c>
      <c r="X57" s="61">
        <f t="shared" si="62"/>
        <v>0.48602542297864337</v>
      </c>
      <c r="Y57" s="103">
        <f t="shared" si="63"/>
        <v>7192.9447200000004</v>
      </c>
      <c r="Z57" s="103">
        <v>7810</v>
      </c>
      <c r="AA57" s="61">
        <f t="shared" si="64"/>
        <v>1.0857861841040257</v>
      </c>
      <c r="AB57" s="104">
        <v>3.0000000000000001E-3</v>
      </c>
      <c r="AC57" s="104">
        <f t="shared" si="65"/>
        <v>6.7020332647397532E-3</v>
      </c>
      <c r="AD57" s="61">
        <f t="shared" si="66"/>
        <v>2.2340110882465845</v>
      </c>
      <c r="AE57" s="105">
        <f>AH57*V57</f>
        <v>1798236.1800000002</v>
      </c>
      <c r="AF57" s="105">
        <v>961270</v>
      </c>
      <c r="AG57" s="61">
        <f t="shared" si="67"/>
        <v>0.53456270688536578</v>
      </c>
      <c r="AH57" s="106">
        <v>0.75</v>
      </c>
      <c r="AI57" s="107">
        <f t="shared" si="68"/>
        <v>0.82489929787405669</v>
      </c>
      <c r="AJ57" s="61">
        <f t="shared" si="69"/>
        <v>1.0998657304987423</v>
      </c>
      <c r="AK57" s="93" t="s">
        <v>60</v>
      </c>
      <c r="AL57" s="118">
        <v>140</v>
      </c>
      <c r="AM57" s="110">
        <f>AP57/W57*1000</f>
        <v>79.970976445914332</v>
      </c>
      <c r="AN57" s="61">
        <f t="shared" si="70"/>
        <v>0.5712212603279595</v>
      </c>
      <c r="AO57" s="110">
        <f t="shared" si="82"/>
        <v>335670.7536</v>
      </c>
      <c r="AP57" s="110">
        <v>93191.618329999998</v>
      </c>
      <c r="AQ57" s="61">
        <f t="shared" si="71"/>
        <v>0.27762805466529034</v>
      </c>
      <c r="AR57" s="111">
        <v>3.5000000000000003E-2</v>
      </c>
      <c r="AS57" s="111">
        <f t="shared" si="72"/>
        <v>3.5000000133595797E-2</v>
      </c>
      <c r="AT57" s="61">
        <f t="shared" si="73"/>
        <v>1.0000000038170227</v>
      </c>
      <c r="AU57" s="110">
        <f t="shared" si="79"/>
        <v>11748.476376000001</v>
      </c>
      <c r="AV57" s="110">
        <f t="shared" si="74"/>
        <v>3261.7066540000087</v>
      </c>
      <c r="AW57" s="61">
        <f t="shared" si="75"/>
        <v>0.27762805572500293</v>
      </c>
      <c r="AX57" s="110">
        <f t="shared" si="80"/>
        <v>347419.22997599997</v>
      </c>
      <c r="AY57" s="110">
        <v>96453.324984000006</v>
      </c>
      <c r="AZ57" s="61">
        <f t="shared" si="76"/>
        <v>0.27762805470112606</v>
      </c>
    </row>
    <row r="58" spans="1:52" ht="72" x14ac:dyDescent="0.25">
      <c r="B58" s="93" t="s">
        <v>133</v>
      </c>
      <c r="C58" s="94" t="s">
        <v>52</v>
      </c>
      <c r="D58" s="95">
        <v>44557</v>
      </c>
      <c r="E58" s="95">
        <v>44579</v>
      </c>
      <c r="F58" s="94" t="s">
        <v>72</v>
      </c>
      <c r="G58" s="93" t="s">
        <v>152</v>
      </c>
      <c r="H58" s="93" t="s">
        <v>84</v>
      </c>
      <c r="I58" s="96" t="s">
        <v>136</v>
      </c>
      <c r="J58" s="93" t="s">
        <v>137</v>
      </c>
      <c r="K58" s="96" t="s">
        <v>75</v>
      </c>
      <c r="L58" s="97">
        <v>1920000</v>
      </c>
      <c r="M58" s="98">
        <v>0.6</v>
      </c>
      <c r="N58" s="98">
        <f>Q58/L58</f>
        <v>0.299425</v>
      </c>
      <c r="O58" s="98">
        <f>N58/M58</f>
        <v>0.49904166666666666</v>
      </c>
      <c r="P58" s="99">
        <f>M58*L58</f>
        <v>1152000</v>
      </c>
      <c r="Q58" s="99">
        <v>574896</v>
      </c>
      <c r="R58" s="100">
        <f>Q58/P58</f>
        <v>0.49904166666666666</v>
      </c>
      <c r="S58" s="101">
        <v>3</v>
      </c>
      <c r="T58" s="101">
        <f>SUM(W58:W59)/Q58</f>
        <v>3.1821842559349864</v>
      </c>
      <c r="U58" s="102">
        <f>T58/S58</f>
        <v>1.0607280853116621</v>
      </c>
      <c r="V58" s="103">
        <f t="shared" ref="V58" si="100">P58*1.7</f>
        <v>1958400</v>
      </c>
      <c r="W58" s="103">
        <v>809062</v>
      </c>
      <c r="X58" s="61">
        <f t="shared" si="62"/>
        <v>0.41312397875816992</v>
      </c>
      <c r="Y58" s="103">
        <f t="shared" si="63"/>
        <v>5875.2</v>
      </c>
      <c r="Z58" s="103">
        <v>5093</v>
      </c>
      <c r="AA58" s="61">
        <f t="shared" si="64"/>
        <v>0.86686410675381265</v>
      </c>
      <c r="AB58" s="104">
        <v>3.0000000000000001E-3</v>
      </c>
      <c r="AC58" s="104">
        <f t="shared" si="65"/>
        <v>6.2949440215953785E-3</v>
      </c>
      <c r="AD58" s="61">
        <f t="shared" si="66"/>
        <v>2.0983146738651262</v>
      </c>
      <c r="AE58" s="105">
        <f t="shared" si="94"/>
        <v>587520</v>
      </c>
      <c r="AF58" s="105">
        <v>211089</v>
      </c>
      <c r="AG58" s="61">
        <f t="shared" si="67"/>
        <v>0.35928819444444443</v>
      </c>
      <c r="AH58" s="106">
        <v>0.3</v>
      </c>
      <c r="AI58" s="120">
        <f t="shared" si="68"/>
        <v>0.2609058391075097</v>
      </c>
      <c r="AJ58" s="61">
        <f t="shared" si="69"/>
        <v>0.86968613035836573</v>
      </c>
      <c r="AK58" s="93" t="s">
        <v>68</v>
      </c>
      <c r="AL58" s="108">
        <v>0.5</v>
      </c>
      <c r="AM58" s="109">
        <f>AP58/AF58</f>
        <v>0.24542064920010043</v>
      </c>
      <c r="AN58" s="61">
        <f t="shared" si="70"/>
        <v>0.49084129840020085</v>
      </c>
      <c r="AO58" s="110">
        <f>AL58*AE58</f>
        <v>293760</v>
      </c>
      <c r="AP58" s="110">
        <v>51805.599418999998</v>
      </c>
      <c r="AQ58" s="61">
        <f t="shared" si="71"/>
        <v>0.17635348386097494</v>
      </c>
      <c r="AR58" s="111">
        <v>3.5000000000000003E-2</v>
      </c>
      <c r="AS58" s="111">
        <f t="shared" si="72"/>
        <v>3.4999999987163626E-2</v>
      </c>
      <c r="AT58" s="61">
        <f t="shared" si="73"/>
        <v>0.99999999963324637</v>
      </c>
      <c r="AU58" s="110">
        <f t="shared" si="79"/>
        <v>10281.6</v>
      </c>
      <c r="AV58" s="110">
        <f t="shared" si="74"/>
        <v>1813.1959790000037</v>
      </c>
      <c r="AW58" s="61">
        <f t="shared" si="75"/>
        <v>0.17635348379629665</v>
      </c>
      <c r="AX58" s="110">
        <f t="shared" si="80"/>
        <v>304041.59999999998</v>
      </c>
      <c r="AY58" s="110">
        <v>53618.795398000002</v>
      </c>
      <c r="AZ58" s="61">
        <f t="shared" si="76"/>
        <v>0.17635348385878777</v>
      </c>
    </row>
    <row r="59" spans="1:52" ht="72" x14ac:dyDescent="0.25">
      <c r="A59" t="s">
        <v>161</v>
      </c>
      <c r="B59" s="93" t="s">
        <v>133</v>
      </c>
      <c r="C59" s="94" t="s">
        <v>52</v>
      </c>
      <c r="D59" s="95">
        <v>44557</v>
      </c>
      <c r="E59" s="95">
        <v>44579</v>
      </c>
      <c r="F59" s="94" t="s">
        <v>72</v>
      </c>
      <c r="G59" s="93" t="s">
        <v>152</v>
      </c>
      <c r="H59" s="93" t="s">
        <v>84</v>
      </c>
      <c r="I59" s="96" t="s">
        <v>136</v>
      </c>
      <c r="J59" s="93" t="s">
        <v>76</v>
      </c>
      <c r="K59" s="96" t="s">
        <v>138</v>
      </c>
      <c r="L59" s="112"/>
      <c r="M59" s="113"/>
      <c r="N59" s="113"/>
      <c r="O59" s="113"/>
      <c r="P59" s="114"/>
      <c r="Q59" s="114"/>
      <c r="R59" s="115"/>
      <c r="S59" s="116"/>
      <c r="T59" s="116"/>
      <c r="U59" s="117"/>
      <c r="V59" s="103">
        <f t="shared" ref="V59" si="101">P58*1.3</f>
        <v>1497600</v>
      </c>
      <c r="W59" s="103">
        <v>1020363</v>
      </c>
      <c r="X59" s="61">
        <f t="shared" si="62"/>
        <v>0.68133213141025639</v>
      </c>
      <c r="Y59" s="103">
        <f t="shared" si="63"/>
        <v>4492.8</v>
      </c>
      <c r="Z59" s="103">
        <v>6816</v>
      </c>
      <c r="AA59" s="61">
        <f t="shared" si="64"/>
        <v>1.517094017094017</v>
      </c>
      <c r="AB59" s="104">
        <v>3.0000000000000001E-3</v>
      </c>
      <c r="AC59" s="104">
        <f t="shared" si="65"/>
        <v>6.6799756557225226E-3</v>
      </c>
      <c r="AD59" s="61">
        <f t="shared" si="66"/>
        <v>2.2266585519075073</v>
      </c>
      <c r="AE59" s="105">
        <f>AH59*V59</f>
        <v>1123200</v>
      </c>
      <c r="AF59" s="105">
        <v>837624</v>
      </c>
      <c r="AG59" s="61">
        <f t="shared" si="67"/>
        <v>0.74574786324786324</v>
      </c>
      <c r="AH59" s="106">
        <v>0.75</v>
      </c>
      <c r="AI59" s="107">
        <f t="shared" si="68"/>
        <v>0.82090785338159067</v>
      </c>
      <c r="AJ59" s="61">
        <f t="shared" si="69"/>
        <v>1.0945438045087876</v>
      </c>
      <c r="AK59" s="93" t="s">
        <v>60</v>
      </c>
      <c r="AL59" s="118">
        <v>140</v>
      </c>
      <c r="AM59" s="110">
        <f>AP59/W59*1000</f>
        <v>66.87551530386736</v>
      </c>
      <c r="AN59" s="61">
        <f t="shared" si="70"/>
        <v>0.47768225217048116</v>
      </c>
      <c r="AO59" s="110">
        <f t="shared" si="82"/>
        <v>209664</v>
      </c>
      <c r="AP59" s="110">
        <v>68237.301422000004</v>
      </c>
      <c r="AQ59" s="61">
        <f t="shared" si="71"/>
        <v>0.32546026700816544</v>
      </c>
      <c r="AR59" s="111">
        <v>3.5000000000000003E-2</v>
      </c>
      <c r="AS59" s="111">
        <f t="shared" si="72"/>
        <v>3.5000000267155877E-2</v>
      </c>
      <c r="AT59" s="61">
        <f t="shared" si="73"/>
        <v>1.0000000076330249</v>
      </c>
      <c r="AU59" s="110">
        <f t="shared" si="79"/>
        <v>7338.2400000000007</v>
      </c>
      <c r="AV59" s="110">
        <f t="shared" si="74"/>
        <v>2388.3055679999961</v>
      </c>
      <c r="AW59" s="61">
        <f t="shared" si="75"/>
        <v>0.3254602694924118</v>
      </c>
      <c r="AX59" s="110">
        <f t="shared" si="80"/>
        <v>217002.23999999999</v>
      </c>
      <c r="AY59" s="110">
        <v>70625.60699</v>
      </c>
      <c r="AZ59" s="61">
        <f t="shared" si="76"/>
        <v>0.32546026709217379</v>
      </c>
    </row>
    <row r="60" spans="1:52" ht="48" x14ac:dyDescent="0.25">
      <c r="B60" s="122" t="s">
        <v>153</v>
      </c>
      <c r="C60" s="93" t="s">
        <v>52</v>
      </c>
      <c r="D60" s="95">
        <v>44557</v>
      </c>
      <c r="E60" s="123">
        <v>44608</v>
      </c>
      <c r="F60" s="123" t="s">
        <v>72</v>
      </c>
      <c r="G60" s="22" t="s">
        <v>154</v>
      </c>
      <c r="H60" s="22" t="s">
        <v>155</v>
      </c>
      <c r="I60" s="96" t="s">
        <v>136</v>
      </c>
      <c r="J60" s="124" t="s">
        <v>137</v>
      </c>
      <c r="K60" s="22" t="s">
        <v>156</v>
      </c>
      <c r="L60" s="105">
        <v>2800000</v>
      </c>
      <c r="M60" s="24">
        <f>P60/L60</f>
        <v>0.5</v>
      </c>
      <c r="N60" s="24">
        <f>Q60/L60</f>
        <v>0.58948392857142862</v>
      </c>
      <c r="O60" s="24">
        <f>N60/M60</f>
        <v>1.1789678571428572</v>
      </c>
      <c r="P60" s="125">
        <f t="shared" ref="P60:P62" si="102">V60/S60</f>
        <v>1400000</v>
      </c>
      <c r="Q60" s="125">
        <v>1650555</v>
      </c>
      <c r="R60" s="126">
        <f>Q60/P60</f>
        <v>1.1789678571428572</v>
      </c>
      <c r="S60" s="60">
        <v>3</v>
      </c>
      <c r="T60" s="127">
        <f>W60/Q60</f>
        <v>2.8339455516477789</v>
      </c>
      <c r="U60" s="61">
        <f>T60/S60</f>
        <v>0.94464851721592635</v>
      </c>
      <c r="V60" s="62">
        <f>AO60/AL60*1000</f>
        <v>4200000</v>
      </c>
      <c r="W60" s="62">
        <v>4677583</v>
      </c>
      <c r="X60" s="61">
        <f>W60/V60</f>
        <v>1.1137102380952382</v>
      </c>
      <c r="Y60" s="62">
        <f>AB60*V60</f>
        <v>8400</v>
      </c>
      <c r="Z60" s="62">
        <v>19643</v>
      </c>
      <c r="AA60" s="61">
        <f>Z60/Y60</f>
        <v>2.3384523809523809</v>
      </c>
      <c r="AB60" s="128">
        <v>2E-3</v>
      </c>
      <c r="AC60" s="128">
        <f>Z60/W60</f>
        <v>4.1993910102717576E-3</v>
      </c>
      <c r="AD60" s="61">
        <f>AC60/AB60</f>
        <v>2.099695505135879</v>
      </c>
      <c r="AE60" s="105">
        <f>AH60*V60</f>
        <v>3360000</v>
      </c>
      <c r="AF60" s="62">
        <v>4147610</v>
      </c>
      <c r="AG60" s="61">
        <f>AF60/AE60</f>
        <v>1.2344077380952381</v>
      </c>
      <c r="AH60" s="129">
        <v>0.8</v>
      </c>
      <c r="AI60" s="129">
        <f>AF60/W60</f>
        <v>0.88669939154473587</v>
      </c>
      <c r="AJ60" s="130">
        <f>AI60/AH60</f>
        <v>1.1083742394309197</v>
      </c>
      <c r="AK60" s="22" t="s">
        <v>60</v>
      </c>
      <c r="AL60" s="118">
        <v>500</v>
      </c>
      <c r="AM60" s="131">
        <f>AP60/W60*1000</f>
        <v>472.88907528538078</v>
      </c>
      <c r="AN60" s="61">
        <f>AM60/AL60</f>
        <v>0.94577815057076153</v>
      </c>
      <c r="AO60" s="132">
        <v>2100000</v>
      </c>
      <c r="AP60" s="132">
        <v>2211977.8994406173</v>
      </c>
      <c r="AQ60" s="130">
        <f>AP60/AO60</f>
        <v>1.0533228092574367</v>
      </c>
      <c r="AR60" s="111">
        <v>8.5000000000000006E-2</v>
      </c>
      <c r="AS60" s="111">
        <f>AV60/AP60</f>
        <v>8.5000000000000006E-2</v>
      </c>
      <c r="AT60" s="61">
        <f>AS60/AR60</f>
        <v>1</v>
      </c>
      <c r="AU60" s="133">
        <f>AR60*AO60</f>
        <v>178500</v>
      </c>
      <c r="AV60" s="132">
        <f>AR60*AP60</f>
        <v>188018.1214524525</v>
      </c>
      <c r="AW60" s="61">
        <f>AV60/AU60</f>
        <v>1.0533228092574369</v>
      </c>
      <c r="AX60" s="132">
        <f>AO60+AU60</f>
        <v>2278500</v>
      </c>
      <c r="AY60" s="132">
        <f>AV60+AP60</f>
        <v>2399996.0208930699</v>
      </c>
      <c r="AZ60" s="134">
        <f>AY60/AX60</f>
        <v>1.0533228092574369</v>
      </c>
    </row>
    <row r="61" spans="1:52" ht="48" x14ac:dyDescent="0.25">
      <c r="B61" s="122" t="s">
        <v>157</v>
      </c>
      <c r="C61" s="93" t="s">
        <v>52</v>
      </c>
      <c r="D61" s="95">
        <v>44557</v>
      </c>
      <c r="E61" s="123">
        <v>44608</v>
      </c>
      <c r="F61" s="123" t="s">
        <v>72</v>
      </c>
      <c r="G61" s="22" t="s">
        <v>154</v>
      </c>
      <c r="H61" s="22" t="s">
        <v>155</v>
      </c>
      <c r="I61" s="96" t="s">
        <v>136</v>
      </c>
      <c r="J61" s="124" t="s">
        <v>158</v>
      </c>
      <c r="K61" s="22" t="s">
        <v>158</v>
      </c>
      <c r="L61" s="105">
        <v>3000000</v>
      </c>
      <c r="M61" s="129">
        <f>P61/L61</f>
        <v>0.23809523809523811</v>
      </c>
      <c r="N61" s="24">
        <f>Q61/L61</f>
        <v>0.41624133333333335</v>
      </c>
      <c r="O61" s="24">
        <f>N61/M61</f>
        <v>1.7482135999999999</v>
      </c>
      <c r="P61" s="125">
        <f t="shared" si="102"/>
        <v>714285.71428571432</v>
      </c>
      <c r="Q61" s="125">
        <v>1248724</v>
      </c>
      <c r="R61" s="126">
        <f t="shared" ref="R61:R63" si="103">Q61/P61</f>
        <v>1.7482135999999999</v>
      </c>
      <c r="S61" s="60">
        <v>7</v>
      </c>
      <c r="T61" s="127">
        <f>W61/Q61</f>
        <v>4.946012089140595</v>
      </c>
      <c r="U61" s="61">
        <f t="shared" ref="U61:U63" si="104">T61/S61</f>
        <v>0.70657315559151357</v>
      </c>
      <c r="V61" s="62">
        <f>AO61/AL61*1000</f>
        <v>5000000</v>
      </c>
      <c r="W61" s="62">
        <v>6176204</v>
      </c>
      <c r="X61" s="61">
        <f t="shared" ref="X61:X63" si="105">W61/V61</f>
        <v>1.2352407999999999</v>
      </c>
      <c r="Y61" s="62">
        <f>AB61*V61</f>
        <v>10000</v>
      </c>
      <c r="Z61" s="62">
        <v>17646</v>
      </c>
      <c r="AA61" s="61">
        <f t="shared" ref="AA61:AA63" si="106">Z61/Y61</f>
        <v>1.7645999999999999</v>
      </c>
      <c r="AB61" s="128">
        <v>2E-3</v>
      </c>
      <c r="AC61" s="135">
        <f>Z61/W61</f>
        <v>2.8570947462227608E-3</v>
      </c>
      <c r="AD61" s="61">
        <f t="shared" ref="AD61:AD63" si="107">AC61/AB61</f>
        <v>1.4285473731113805</v>
      </c>
      <c r="AE61" s="105" t="s">
        <v>59</v>
      </c>
      <c r="AF61" s="105" t="s">
        <v>59</v>
      </c>
      <c r="AG61" s="61" t="s">
        <v>59</v>
      </c>
      <c r="AH61" s="129" t="s">
        <v>59</v>
      </c>
      <c r="AI61" s="129" t="s">
        <v>59</v>
      </c>
      <c r="AJ61" s="130" t="s">
        <v>59</v>
      </c>
      <c r="AK61" s="22" t="s">
        <v>60</v>
      </c>
      <c r="AL61" s="118">
        <v>200</v>
      </c>
      <c r="AM61" s="131">
        <f>AP61/W61*1000</f>
        <v>140.4488128702217</v>
      </c>
      <c r="AN61" s="61">
        <f t="shared" ref="AN61:AN63" si="108">AM61/AL61</f>
        <v>0.70224406435110853</v>
      </c>
      <c r="AO61" s="132">
        <v>1000000</v>
      </c>
      <c r="AP61" s="132">
        <v>867440.51984431478</v>
      </c>
      <c r="AQ61" s="130">
        <f t="shared" ref="AQ61:AQ63" si="109">AP61/AO61</f>
        <v>0.86744051984431481</v>
      </c>
      <c r="AR61" s="111">
        <v>8.5000000000000006E-2</v>
      </c>
      <c r="AS61" s="111">
        <f>AV61/AP61</f>
        <v>8.4999983724997313E-2</v>
      </c>
      <c r="AT61" s="61">
        <f t="shared" ref="AT61:AT63" si="110">AS61/AR61</f>
        <v>0.99999980852938009</v>
      </c>
      <c r="AU61" s="133">
        <f t="shared" ref="AU61:AU62" si="111">AR61*AO61</f>
        <v>85000</v>
      </c>
      <c r="AV61" s="132">
        <f>AY61-AP61</f>
        <v>73732.430069169961</v>
      </c>
      <c r="AW61" s="61">
        <f t="shared" ref="AW61:AW63" si="112">AV61/AU61</f>
        <v>0.86744035375494066</v>
      </c>
      <c r="AX61" s="132">
        <f>AO61+AU61</f>
        <v>1085000</v>
      </c>
      <c r="AY61" s="132">
        <v>941172.94991348474</v>
      </c>
      <c r="AZ61" s="134">
        <f t="shared" ref="AZ61:AZ63" si="113">AY61/AX61</f>
        <v>0.86744050683270479</v>
      </c>
    </row>
    <row r="62" spans="1:52" ht="36" x14ac:dyDescent="0.25">
      <c r="B62" s="122" t="s">
        <v>157</v>
      </c>
      <c r="C62" s="93" t="s">
        <v>52</v>
      </c>
      <c r="D62" s="95">
        <v>44557</v>
      </c>
      <c r="E62" s="123">
        <v>44608</v>
      </c>
      <c r="F62" s="123" t="s">
        <v>72</v>
      </c>
      <c r="G62" s="22" t="s">
        <v>159</v>
      </c>
      <c r="H62" s="22" t="s">
        <v>155</v>
      </c>
      <c r="I62" s="96" t="s">
        <v>136</v>
      </c>
      <c r="J62" s="124" t="s">
        <v>158</v>
      </c>
      <c r="K62" s="22" t="s">
        <v>158</v>
      </c>
      <c r="L62" s="105" t="s">
        <v>59</v>
      </c>
      <c r="M62" s="129" t="s">
        <v>59</v>
      </c>
      <c r="N62" s="129" t="s">
        <v>59</v>
      </c>
      <c r="O62" s="129" t="s">
        <v>59</v>
      </c>
      <c r="P62" s="125">
        <f t="shared" si="102"/>
        <v>357142.85714285716</v>
      </c>
      <c r="Q62" s="125">
        <v>731453</v>
      </c>
      <c r="R62" s="126">
        <f t="shared" si="103"/>
        <v>2.0480684</v>
      </c>
      <c r="S62" s="60">
        <v>4</v>
      </c>
      <c r="T62" s="127">
        <f>W62/Q62</f>
        <v>2.253332750019482</v>
      </c>
      <c r="U62" s="61" t="s">
        <v>59</v>
      </c>
      <c r="V62" s="62">
        <f>AO62/AL62*1000</f>
        <v>1428571.4285714286</v>
      </c>
      <c r="W62" s="62">
        <v>1648207</v>
      </c>
      <c r="X62" s="61">
        <f t="shared" si="105"/>
        <v>1.1537449</v>
      </c>
      <c r="Y62" s="62">
        <f>AB62*V62</f>
        <v>2857.1428571428573</v>
      </c>
      <c r="Z62" s="62">
        <v>7275</v>
      </c>
      <c r="AA62" s="61">
        <f t="shared" si="106"/>
        <v>2.5462499999999997</v>
      </c>
      <c r="AB62" s="128">
        <v>2E-3</v>
      </c>
      <c r="AC62" s="135">
        <f>Z62/W62</f>
        <v>4.4138873333264576E-3</v>
      </c>
      <c r="AD62" s="61">
        <f t="shared" si="107"/>
        <v>2.2069436666632289</v>
      </c>
      <c r="AE62" s="105" t="s">
        <v>59</v>
      </c>
      <c r="AF62" s="105" t="s">
        <v>59</v>
      </c>
      <c r="AG62" s="61" t="s">
        <v>59</v>
      </c>
      <c r="AH62" s="129" t="s">
        <v>59</v>
      </c>
      <c r="AI62" s="129" t="s">
        <v>59</v>
      </c>
      <c r="AJ62" s="130" t="s">
        <v>59</v>
      </c>
      <c r="AK62" s="22" t="s">
        <v>60</v>
      </c>
      <c r="AL62" s="118">
        <v>175</v>
      </c>
      <c r="AM62" s="131">
        <f>AP62/W62*1000</f>
        <v>142.94503056958257</v>
      </c>
      <c r="AN62" s="61">
        <f t="shared" si="108"/>
        <v>0.81682874611190037</v>
      </c>
      <c r="AO62" s="132">
        <v>250000</v>
      </c>
      <c r="AP62" s="132">
        <v>235603</v>
      </c>
      <c r="AQ62" s="130">
        <f t="shared" si="109"/>
        <v>0.94241200000000003</v>
      </c>
      <c r="AR62" s="111">
        <v>8.5000000000000006E-2</v>
      </c>
      <c r="AS62" s="111">
        <f>AV62/AP62</f>
        <v>8.5000000000000006E-2</v>
      </c>
      <c r="AT62" s="61">
        <f t="shared" si="110"/>
        <v>1</v>
      </c>
      <c r="AU62" s="133">
        <f t="shared" si="111"/>
        <v>21250</v>
      </c>
      <c r="AV62" s="132">
        <f>AR62*AP62</f>
        <v>20026.255000000001</v>
      </c>
      <c r="AW62" s="61">
        <f t="shared" si="112"/>
        <v>0.94241200000000003</v>
      </c>
      <c r="AX62" s="132">
        <f>AO62+AU62</f>
        <v>271250</v>
      </c>
      <c r="AY62" s="132">
        <f>AV62+AP62</f>
        <v>255629.255</v>
      </c>
      <c r="AZ62" s="134">
        <f t="shared" si="113"/>
        <v>0.94241200000000003</v>
      </c>
    </row>
    <row r="63" spans="1:52" ht="72" x14ac:dyDescent="0.25">
      <c r="B63" s="122" t="s">
        <v>157</v>
      </c>
      <c r="C63" s="93" t="s">
        <v>52</v>
      </c>
      <c r="D63" s="95">
        <v>44557</v>
      </c>
      <c r="E63" s="123">
        <v>44608</v>
      </c>
      <c r="F63" s="123" t="s">
        <v>72</v>
      </c>
      <c r="G63" s="22" t="s">
        <v>160</v>
      </c>
      <c r="H63" s="22" t="s">
        <v>155</v>
      </c>
      <c r="I63" s="96" t="s">
        <v>136</v>
      </c>
      <c r="J63" s="124" t="s">
        <v>158</v>
      </c>
      <c r="K63" s="22" t="s">
        <v>158</v>
      </c>
      <c r="L63" s="105" t="s">
        <v>59</v>
      </c>
      <c r="M63" s="129" t="s">
        <v>59</v>
      </c>
      <c r="N63" s="129" t="s">
        <v>59</v>
      </c>
      <c r="O63" s="129" t="s">
        <v>59</v>
      </c>
      <c r="P63" s="125">
        <f>V63/S63</f>
        <v>333333.33333333331</v>
      </c>
      <c r="Q63" s="125">
        <v>408552</v>
      </c>
      <c r="R63" s="126">
        <f t="shared" si="103"/>
        <v>1.2256560000000001</v>
      </c>
      <c r="S63" s="60">
        <v>6</v>
      </c>
      <c r="T63" s="127">
        <f>W63/Q63</f>
        <v>4.7339212633887486</v>
      </c>
      <c r="U63" s="61">
        <f t="shared" si="104"/>
        <v>0.78898687723145811</v>
      </c>
      <c r="V63" s="62">
        <f>AO63/AL63*1000</f>
        <v>2000000</v>
      </c>
      <c r="W63" s="62">
        <v>1934053</v>
      </c>
      <c r="X63" s="61">
        <f t="shared" si="105"/>
        <v>0.96702650000000001</v>
      </c>
      <c r="Y63" s="62">
        <f>AB63*V63</f>
        <v>5000</v>
      </c>
      <c r="Z63" s="62">
        <v>8524</v>
      </c>
      <c r="AA63" s="61">
        <f t="shared" si="106"/>
        <v>1.7048000000000001</v>
      </c>
      <c r="AB63" s="128">
        <v>2.5000000000000001E-3</v>
      </c>
      <c r="AC63" s="135">
        <f>Z63/W63</f>
        <v>4.4073249285309143E-3</v>
      </c>
      <c r="AD63" s="61">
        <f t="shared" si="107"/>
        <v>1.7629299714123656</v>
      </c>
      <c r="AE63" s="105" t="s">
        <v>59</v>
      </c>
      <c r="AF63" s="105" t="s">
        <v>59</v>
      </c>
      <c r="AG63" s="61" t="s">
        <v>59</v>
      </c>
      <c r="AH63" s="129" t="s">
        <v>59</v>
      </c>
      <c r="AI63" s="129" t="s">
        <v>59</v>
      </c>
      <c r="AJ63" s="130" t="s">
        <v>59</v>
      </c>
      <c r="AK63" s="22" t="s">
        <v>60</v>
      </c>
      <c r="AL63" s="118">
        <v>150</v>
      </c>
      <c r="AM63" s="131">
        <f>AP63/W63*1000</f>
        <v>155.11473514463992</v>
      </c>
      <c r="AN63" s="61">
        <f t="shared" si="108"/>
        <v>1.0340982342975995</v>
      </c>
      <c r="AO63" s="132">
        <v>300000</v>
      </c>
      <c r="AP63" s="132">
        <v>300000.11885069625</v>
      </c>
      <c r="AQ63" s="130">
        <f t="shared" si="109"/>
        <v>1.0000003961689874</v>
      </c>
      <c r="AR63" s="111">
        <v>8.5000000000000006E-2</v>
      </c>
      <c r="AS63" s="111">
        <f>AV63/AP63</f>
        <v>8.5000000000000006E-2</v>
      </c>
      <c r="AT63" s="61">
        <f t="shared" si="110"/>
        <v>1</v>
      </c>
      <c r="AU63" s="133">
        <f>AR63*AO63</f>
        <v>25500.000000000004</v>
      </c>
      <c r="AV63" s="132">
        <f>AR63*AP63</f>
        <v>25500.010102309185</v>
      </c>
      <c r="AW63" s="61">
        <f t="shared" si="112"/>
        <v>1.0000003961689874</v>
      </c>
      <c r="AX63" s="132">
        <f>AO63+AU63</f>
        <v>325500</v>
      </c>
      <c r="AY63" s="132">
        <f>AV63+AP63</f>
        <v>325500.12895300542</v>
      </c>
      <c r="AZ63" s="134">
        <f t="shared" si="113"/>
        <v>1.0000003961689874</v>
      </c>
    </row>
    <row r="65" spans="2:52" ht="72" x14ac:dyDescent="0.25">
      <c r="B65" s="22" t="s">
        <v>105</v>
      </c>
      <c r="C65" s="22" t="s">
        <v>52</v>
      </c>
      <c r="D65" s="123">
        <v>44562</v>
      </c>
      <c r="E65" s="123">
        <v>44592</v>
      </c>
      <c r="F65" s="22" t="s">
        <v>72</v>
      </c>
      <c r="G65" s="22" t="s">
        <v>162</v>
      </c>
      <c r="H65" s="22" t="s">
        <v>163</v>
      </c>
      <c r="I65" s="136" t="s">
        <v>164</v>
      </c>
      <c r="J65" s="11" t="s">
        <v>165</v>
      </c>
      <c r="K65" s="11" t="s">
        <v>166</v>
      </c>
      <c r="L65" s="60">
        <f>16000000*70%</f>
        <v>11200000</v>
      </c>
      <c r="M65" s="137">
        <v>0.5</v>
      </c>
      <c r="N65" s="137">
        <f t="shared" ref="N65:N70" si="114">Q65/L65</f>
        <v>0.59034330357142861</v>
      </c>
      <c r="O65" s="21">
        <f>N65/M65</f>
        <v>1.1806866071428572</v>
      </c>
      <c r="P65" s="62">
        <f>M65*L65</f>
        <v>5600000</v>
      </c>
      <c r="Q65" s="62">
        <v>6611845</v>
      </c>
      <c r="R65" s="21">
        <f>Q65/P65</f>
        <v>1.1806866071428572</v>
      </c>
      <c r="S65" s="60">
        <v>2</v>
      </c>
      <c r="T65" s="60">
        <f>W65/Q65</f>
        <v>1.824692351378473</v>
      </c>
      <c r="U65" s="21">
        <f>T65/S65</f>
        <v>0.91234617568923648</v>
      </c>
      <c r="V65" s="62">
        <f>P65*S65</f>
        <v>11200000</v>
      </c>
      <c r="W65" s="62">
        <v>12064583</v>
      </c>
      <c r="X65" s="21">
        <f>W65/V65</f>
        <v>1.0771949107142857</v>
      </c>
      <c r="Y65" s="62">
        <f>AB65*V65</f>
        <v>56000</v>
      </c>
      <c r="Z65" s="62">
        <v>83862</v>
      </c>
      <c r="AA65" s="21">
        <f>Z65/Y65</f>
        <v>1.4975357142857142</v>
      </c>
      <c r="AB65" s="138">
        <v>5.0000000000000001E-3</v>
      </c>
      <c r="AC65" s="138">
        <f>Z65/W65</f>
        <v>6.9510898138791868E-3</v>
      </c>
      <c r="AD65" s="21">
        <f>AC65/AB65</f>
        <v>1.3902179627758373</v>
      </c>
      <c r="AE65" s="62">
        <f>AH65*V65</f>
        <v>8960000</v>
      </c>
      <c r="AF65" s="62">
        <v>10503810</v>
      </c>
      <c r="AG65" s="21">
        <f>AF65/AE65</f>
        <v>1.1723002232142856</v>
      </c>
      <c r="AH65" s="137">
        <v>0.8</v>
      </c>
      <c r="AI65" s="137">
        <f>AF65/W65</f>
        <v>0.87063183203265293</v>
      </c>
      <c r="AJ65" s="21">
        <f>AI65/AH65</f>
        <v>1.0882897900408162</v>
      </c>
      <c r="AK65" s="132" t="s">
        <v>167</v>
      </c>
      <c r="AL65" s="23">
        <v>80</v>
      </c>
      <c r="AM65" s="131">
        <f>AP65/W65*1000</f>
        <v>66.827075496600244</v>
      </c>
      <c r="AN65" s="21">
        <f>AM65/AL65</f>
        <v>0.8353384437075031</v>
      </c>
      <c r="AO65" s="105">
        <f t="shared" ref="AO65:AO70" si="115">AL65*V65/1000</f>
        <v>896000</v>
      </c>
      <c r="AP65" s="105">
        <v>806240.79897599993</v>
      </c>
      <c r="AQ65" s="21">
        <f>AP65/AO65</f>
        <v>0.89982232028571418</v>
      </c>
      <c r="AR65" s="21">
        <f t="shared" ref="AR65:AS68" si="116">AU65/AO65</f>
        <v>3.4999999999999871E-2</v>
      </c>
      <c r="AS65" s="21">
        <f t="shared" si="116"/>
        <v>3.4999999999801593E-2</v>
      </c>
      <c r="AT65" s="21">
        <f>AS65/AR65</f>
        <v>0.99999999999433486</v>
      </c>
      <c r="AU65" s="139">
        <f t="shared" ref="AU65:AV68" si="117">AX65-AO65</f>
        <v>31359.999999999884</v>
      </c>
      <c r="AV65" s="105">
        <f t="shared" si="117"/>
        <v>28218.427964000031</v>
      </c>
      <c r="AW65" s="21">
        <f>AV65/AU65</f>
        <v>0.89982232028061659</v>
      </c>
      <c r="AX65" s="105">
        <f>AO65*103.5%</f>
        <v>927359.99999999988</v>
      </c>
      <c r="AY65" s="140">
        <v>834459.22693999996</v>
      </c>
      <c r="AZ65" s="21">
        <f>AY65/AX65</f>
        <v>0.89982232028554188</v>
      </c>
    </row>
    <row r="66" spans="2:52" ht="72" x14ac:dyDescent="0.25">
      <c r="B66" s="22" t="s">
        <v>105</v>
      </c>
      <c r="C66" s="22" t="s">
        <v>52</v>
      </c>
      <c r="D66" s="123">
        <v>44562</v>
      </c>
      <c r="E66" s="123">
        <v>44592</v>
      </c>
      <c r="F66" s="22" t="s">
        <v>72</v>
      </c>
      <c r="G66" s="22" t="s">
        <v>162</v>
      </c>
      <c r="H66" s="22" t="s">
        <v>168</v>
      </c>
      <c r="I66" s="136" t="s">
        <v>164</v>
      </c>
      <c r="J66" s="11" t="s">
        <v>165</v>
      </c>
      <c r="K66" s="11" t="s">
        <v>166</v>
      </c>
      <c r="L66" s="60">
        <f>18000000*70%</f>
        <v>12600000</v>
      </c>
      <c r="M66" s="137">
        <v>0.5</v>
      </c>
      <c r="N66" s="137">
        <f t="shared" si="114"/>
        <v>0.5404809523809524</v>
      </c>
      <c r="O66" s="21">
        <f t="shared" ref="O66:O74" si="118">N66/M66</f>
        <v>1.0809619047619048</v>
      </c>
      <c r="P66" s="62">
        <f>M66*L66</f>
        <v>6300000</v>
      </c>
      <c r="Q66" s="62">
        <v>6810060</v>
      </c>
      <c r="R66" s="21">
        <f t="shared" ref="R66:R74" si="119">Q66/P66</f>
        <v>1.0809619047619048</v>
      </c>
      <c r="S66" s="60">
        <v>2</v>
      </c>
      <c r="T66" s="60">
        <f t="shared" ref="T66:T74" si="120">W66/Q66</f>
        <v>1.9309219008349412</v>
      </c>
      <c r="U66" s="21">
        <f t="shared" ref="U66:U74" si="121">T66/S66</f>
        <v>0.9654609504174706</v>
      </c>
      <c r="V66" s="62">
        <f>P66*S66</f>
        <v>12600000</v>
      </c>
      <c r="W66" s="62">
        <v>13149694</v>
      </c>
      <c r="X66" s="21">
        <f t="shared" ref="X66:X74" si="122">W66/V66</f>
        <v>1.0436265079365079</v>
      </c>
      <c r="Y66" s="62">
        <f>AB66*V66</f>
        <v>94500</v>
      </c>
      <c r="Z66" s="62">
        <v>97516</v>
      </c>
      <c r="AA66" s="21">
        <f t="shared" ref="AA66:AA74" si="123">Z66/Y66</f>
        <v>1.0319153439153439</v>
      </c>
      <c r="AB66" s="138">
        <v>7.4999999999999997E-3</v>
      </c>
      <c r="AC66" s="138">
        <f t="shared" ref="AC66:AC74" si="124">Z66/W66</f>
        <v>7.41583796550703E-3</v>
      </c>
      <c r="AD66" s="21">
        <f t="shared" ref="AD66:AD74" si="125">AC66/AB66</f>
        <v>0.98877839540093737</v>
      </c>
      <c r="AE66" s="62">
        <f>AH66*V66</f>
        <v>10080000</v>
      </c>
      <c r="AF66" s="62">
        <v>11583092</v>
      </c>
      <c r="AG66" s="21">
        <f t="shared" ref="AG66" si="126">AF66/AE66</f>
        <v>1.1491162698412698</v>
      </c>
      <c r="AH66" s="137">
        <v>0.8</v>
      </c>
      <c r="AI66" s="137">
        <f>AF66/W66</f>
        <v>0.88086399577054797</v>
      </c>
      <c r="AJ66" s="21">
        <f t="shared" ref="AJ66" si="127">AI66/AH66</f>
        <v>1.1010799947131849</v>
      </c>
      <c r="AK66" s="132" t="s">
        <v>167</v>
      </c>
      <c r="AL66" s="23">
        <v>75</v>
      </c>
      <c r="AM66" s="131">
        <f>AP66/W66*1000</f>
        <v>61.337210664674011</v>
      </c>
      <c r="AN66" s="21">
        <f t="shared" ref="AN66:AN74" si="128">AM66/AL66</f>
        <v>0.81782947552898677</v>
      </c>
      <c r="AO66" s="105">
        <f t="shared" si="115"/>
        <v>945000</v>
      </c>
      <c r="AP66" s="105">
        <v>806565.55105399992</v>
      </c>
      <c r="AQ66" s="21">
        <f t="shared" ref="AQ66:AQ74" si="129">AP66/AO66</f>
        <v>0.85350851963386232</v>
      </c>
      <c r="AR66" s="21">
        <f t="shared" si="116"/>
        <v>3.4999999999999878E-2</v>
      </c>
      <c r="AS66" s="21">
        <f t="shared" si="116"/>
        <v>3.5000000000136491E-2</v>
      </c>
      <c r="AT66" s="21">
        <f>AS66/AR66</f>
        <v>1.0000000000039033</v>
      </c>
      <c r="AU66" s="139">
        <f t="shared" si="117"/>
        <v>33074.999999999884</v>
      </c>
      <c r="AV66" s="105">
        <f t="shared" si="117"/>
        <v>28229.794287000084</v>
      </c>
      <c r="AW66" s="21">
        <f>AV66/AU66</f>
        <v>0.85350851963719376</v>
      </c>
      <c r="AX66" s="105">
        <f>AO66*103.5%</f>
        <v>978074.99999999988</v>
      </c>
      <c r="AY66" s="140">
        <v>834795.34534100001</v>
      </c>
      <c r="AZ66" s="21">
        <f t="shared" ref="AZ66:AZ74" si="130">AY66/AX66</f>
        <v>0.853508519633975</v>
      </c>
    </row>
    <row r="67" spans="2:52" ht="72" x14ac:dyDescent="0.25">
      <c r="B67" s="22" t="s">
        <v>105</v>
      </c>
      <c r="C67" s="22" t="s">
        <v>52</v>
      </c>
      <c r="D67" s="123">
        <v>44562</v>
      </c>
      <c r="E67" s="123">
        <v>44592</v>
      </c>
      <c r="F67" s="22" t="s">
        <v>72</v>
      </c>
      <c r="G67" s="22" t="s">
        <v>169</v>
      </c>
      <c r="H67" s="22" t="s">
        <v>170</v>
      </c>
      <c r="I67" s="136" t="s">
        <v>164</v>
      </c>
      <c r="J67" s="11" t="s">
        <v>165</v>
      </c>
      <c r="K67" s="11" t="s">
        <v>166</v>
      </c>
      <c r="L67" s="60">
        <f>15000000*70%</f>
        <v>10500000</v>
      </c>
      <c r="M67" s="137">
        <v>0.5</v>
      </c>
      <c r="N67" s="137">
        <f t="shared" si="114"/>
        <v>0.58860838095238099</v>
      </c>
      <c r="O67" s="21">
        <f>N67/M67</f>
        <v>1.177216761904762</v>
      </c>
      <c r="P67" s="62">
        <f>M67*L67</f>
        <v>5250000</v>
      </c>
      <c r="Q67" s="62">
        <v>6180388</v>
      </c>
      <c r="R67" s="21">
        <f>Q67/P67</f>
        <v>1.177216761904762</v>
      </c>
      <c r="S67" s="60">
        <v>2</v>
      </c>
      <c r="T67" s="60">
        <f>W67/Q67</f>
        <v>1.9397879226999988</v>
      </c>
      <c r="U67" s="21">
        <f>T67/S67</f>
        <v>0.96989396134999939</v>
      </c>
      <c r="V67" s="62">
        <f>P67*S67</f>
        <v>10500000</v>
      </c>
      <c r="W67" s="62">
        <v>11988642</v>
      </c>
      <c r="X67" s="21">
        <f>W67/V67</f>
        <v>1.1417754285714286</v>
      </c>
      <c r="Y67" s="62">
        <f>AB67*V67</f>
        <v>52500</v>
      </c>
      <c r="Z67" s="62">
        <v>75916</v>
      </c>
      <c r="AA67" s="21">
        <f>Z67/Y67</f>
        <v>1.4460190476190475</v>
      </c>
      <c r="AB67" s="138">
        <v>5.0000000000000001E-3</v>
      </c>
      <c r="AC67" s="138">
        <f>Z67/W67</f>
        <v>6.3323268807259402E-3</v>
      </c>
      <c r="AD67" s="21">
        <f>AC67/AB67</f>
        <v>1.2664653761451881</v>
      </c>
      <c r="AE67" s="62">
        <f>AH67*V67</f>
        <v>8400000</v>
      </c>
      <c r="AF67" s="62">
        <v>9971802</v>
      </c>
      <c r="AG67" s="21">
        <f>AF67/AE67</f>
        <v>1.1871192857142858</v>
      </c>
      <c r="AH67" s="137">
        <v>0.8</v>
      </c>
      <c r="AI67" s="137">
        <f>AF67/W67</f>
        <v>0.83177077103478447</v>
      </c>
      <c r="AJ67" s="21">
        <f>AI67/AH67</f>
        <v>1.0397134637934806</v>
      </c>
      <c r="AK67" s="132" t="s">
        <v>167</v>
      </c>
      <c r="AL67" s="23">
        <v>80</v>
      </c>
      <c r="AM67" s="131">
        <f>AP67/W67*1000</f>
        <v>66.885101785423245</v>
      </c>
      <c r="AN67" s="21">
        <f>AM67/AL67</f>
        <v>0.83606377231779061</v>
      </c>
      <c r="AO67" s="105">
        <f t="shared" si="115"/>
        <v>840000</v>
      </c>
      <c r="AP67" s="105">
        <v>801861.540439</v>
      </c>
      <c r="AQ67" s="21">
        <f>AP67/AO67</f>
        <v>0.95459707195119048</v>
      </c>
      <c r="AR67" s="21">
        <f t="shared" si="116"/>
        <v>3.4999999999999865E-2</v>
      </c>
      <c r="AS67" s="21">
        <f t="shared" si="116"/>
        <v>3.5000000000791953E-2</v>
      </c>
      <c r="AT67" s="21">
        <f>AS67/AR67</f>
        <v>1.000000000022631</v>
      </c>
      <c r="AU67" s="139">
        <f t="shared" si="117"/>
        <v>29399.999999999884</v>
      </c>
      <c r="AV67" s="105">
        <f t="shared" si="117"/>
        <v>28065.153916000039</v>
      </c>
      <c r="AW67" s="21">
        <f>AV67/AU67</f>
        <v>0.9545970719727942</v>
      </c>
      <c r="AX67" s="105">
        <f>AO67*103.5%</f>
        <v>869399.99999999988</v>
      </c>
      <c r="AY67" s="140">
        <v>829926.69435500004</v>
      </c>
      <c r="AZ67" s="21">
        <f>AY67/AX67</f>
        <v>0.95459707195192101</v>
      </c>
    </row>
    <row r="68" spans="2:52" ht="72" x14ac:dyDescent="0.25">
      <c r="B68" s="22" t="s">
        <v>105</v>
      </c>
      <c r="C68" s="22" t="s">
        <v>52</v>
      </c>
      <c r="D68" s="123">
        <v>44562</v>
      </c>
      <c r="E68" s="123">
        <v>44592</v>
      </c>
      <c r="F68" s="22" t="s">
        <v>72</v>
      </c>
      <c r="G68" s="22" t="s">
        <v>169</v>
      </c>
      <c r="H68" s="22" t="s">
        <v>171</v>
      </c>
      <c r="I68" s="136" t="s">
        <v>164</v>
      </c>
      <c r="J68" s="11" t="s">
        <v>165</v>
      </c>
      <c r="K68" s="11" t="s">
        <v>166</v>
      </c>
      <c r="L68" s="60">
        <f>13000000*70%</f>
        <v>9100000</v>
      </c>
      <c r="M68" s="137">
        <v>0.5</v>
      </c>
      <c r="N68" s="137">
        <f t="shared" si="114"/>
        <v>0.47544637362637365</v>
      </c>
      <c r="O68" s="21">
        <f>N68/M68</f>
        <v>0.95089274725274731</v>
      </c>
      <c r="P68" s="62">
        <f>M68*L68</f>
        <v>4550000</v>
      </c>
      <c r="Q68" s="62">
        <v>4326562</v>
      </c>
      <c r="R68" s="21">
        <f>Q68/P68</f>
        <v>0.95089274725274731</v>
      </c>
      <c r="S68" s="60">
        <v>2</v>
      </c>
      <c r="T68" s="60">
        <f>W68/Q68</f>
        <v>1.98078913465241</v>
      </c>
      <c r="U68" s="21">
        <f>T68/S68</f>
        <v>0.99039456732620501</v>
      </c>
      <c r="V68" s="62">
        <f>P68*S68</f>
        <v>9100000</v>
      </c>
      <c r="W68" s="62">
        <v>8570007</v>
      </c>
      <c r="X68" s="21">
        <f>W68/V68</f>
        <v>0.94175901098901094</v>
      </c>
      <c r="Y68" s="62">
        <f>AB68*V68</f>
        <v>45500</v>
      </c>
      <c r="Z68" s="62">
        <v>47398</v>
      </c>
      <c r="AA68" s="21">
        <f>Z68/Y68</f>
        <v>1.0417142857142858</v>
      </c>
      <c r="AB68" s="138">
        <v>5.0000000000000001E-3</v>
      </c>
      <c r="AC68" s="138">
        <f>Z68/W68</f>
        <v>5.5306839305965562E-3</v>
      </c>
      <c r="AD68" s="21">
        <f>AC68/AB68</f>
        <v>1.1061367861193112</v>
      </c>
      <c r="AE68" s="62">
        <f>AH68*V68</f>
        <v>7280000</v>
      </c>
      <c r="AF68" s="62">
        <v>6955931</v>
      </c>
      <c r="AG68" s="21">
        <f>AF68/AE68</f>
        <v>0.9554850274725275</v>
      </c>
      <c r="AH68" s="137">
        <v>0.8</v>
      </c>
      <c r="AI68" s="137">
        <f>AF68/W68</f>
        <v>0.81165989712727193</v>
      </c>
      <c r="AJ68" s="21">
        <f>AI68/AH68</f>
        <v>1.0145748714090899</v>
      </c>
      <c r="AK68" s="132" t="s">
        <v>167</v>
      </c>
      <c r="AL68" s="23">
        <v>80</v>
      </c>
      <c r="AM68" s="131">
        <f>AP68/W68*1000</f>
        <v>69.868813408903861</v>
      </c>
      <c r="AN68" s="21">
        <f>AM68/AL68</f>
        <v>0.87336016761129831</v>
      </c>
      <c r="AO68" s="105">
        <f t="shared" si="115"/>
        <v>728000</v>
      </c>
      <c r="AP68" s="105">
        <v>598776.21999599994</v>
      </c>
      <c r="AQ68" s="21">
        <f>AP68/AO68</f>
        <v>0.82249480768681316</v>
      </c>
      <c r="AR68" s="21">
        <f t="shared" si="116"/>
        <v>3.5000000000000003E-2</v>
      </c>
      <c r="AS68" s="21">
        <f t="shared" si="116"/>
        <v>3.500000000023399E-2</v>
      </c>
      <c r="AT68" s="21">
        <f>AS68/AR68</f>
        <v>1.0000000000066853</v>
      </c>
      <c r="AU68" s="139">
        <f t="shared" si="117"/>
        <v>25480</v>
      </c>
      <c r="AV68" s="105">
        <f t="shared" si="117"/>
        <v>20957.167700000107</v>
      </c>
      <c r="AW68" s="21">
        <f>AV68/AU68</f>
        <v>0.82249480769231187</v>
      </c>
      <c r="AX68" s="105">
        <f>AO68*103.5%</f>
        <v>753480</v>
      </c>
      <c r="AY68" s="140">
        <v>619733.38769600005</v>
      </c>
      <c r="AZ68" s="21">
        <f>AY68/AX68</f>
        <v>0.82249480768699901</v>
      </c>
    </row>
    <row r="69" spans="2:52" ht="84" x14ac:dyDescent="0.25">
      <c r="B69" s="141" t="s">
        <v>172</v>
      </c>
      <c r="C69" s="22" t="s">
        <v>173</v>
      </c>
      <c r="D69" s="123">
        <v>44562</v>
      </c>
      <c r="E69" s="123">
        <v>44592</v>
      </c>
      <c r="F69" s="22" t="s">
        <v>111</v>
      </c>
      <c r="G69" s="22" t="s">
        <v>174</v>
      </c>
      <c r="H69" s="22" t="s">
        <v>163</v>
      </c>
      <c r="I69" s="11" t="s">
        <v>175</v>
      </c>
      <c r="J69" s="11" t="s">
        <v>101</v>
      </c>
      <c r="K69" s="11" t="s">
        <v>176</v>
      </c>
      <c r="L69" s="60">
        <v>2700000</v>
      </c>
      <c r="M69" s="137">
        <v>0.6</v>
      </c>
      <c r="N69" s="137">
        <f t="shared" si="114"/>
        <v>0.6243481481481481</v>
      </c>
      <c r="O69" s="21">
        <f t="shared" si="118"/>
        <v>1.0405802469135803</v>
      </c>
      <c r="P69" s="62">
        <f>L69*M69</f>
        <v>1620000</v>
      </c>
      <c r="Q69" s="62">
        <v>1685740</v>
      </c>
      <c r="R69" s="21">
        <f t="shared" si="119"/>
        <v>1.0405802469135803</v>
      </c>
      <c r="S69" s="127">
        <v>6.32</v>
      </c>
      <c r="T69" s="60">
        <f t="shared" si="120"/>
        <v>6.6077532715602647</v>
      </c>
      <c r="U69" s="21">
        <f t="shared" si="121"/>
        <v>1.0455305809430797</v>
      </c>
      <c r="V69" s="62">
        <f t="shared" ref="V69:V70" si="131">P69*S69</f>
        <v>10238400</v>
      </c>
      <c r="W69" s="62">
        <v>11138954</v>
      </c>
      <c r="X69" s="21">
        <f t="shared" si="122"/>
        <v>1.087958470073449</v>
      </c>
      <c r="Y69" s="62">
        <f t="shared" ref="Y69:Y73" si="132">V69*AB69</f>
        <v>31739.039999999997</v>
      </c>
      <c r="Z69" s="62">
        <v>19998</v>
      </c>
      <c r="AA69" s="21">
        <f t="shared" si="123"/>
        <v>0.6300757678871195</v>
      </c>
      <c r="AB69" s="138">
        <v>3.0999999999999999E-3</v>
      </c>
      <c r="AC69" s="138">
        <f t="shared" si="124"/>
        <v>1.795321176476714E-3</v>
      </c>
      <c r="AD69" s="21">
        <f t="shared" si="125"/>
        <v>0.57913586337958523</v>
      </c>
      <c r="AE69" s="62" t="s">
        <v>59</v>
      </c>
      <c r="AF69" s="62" t="s">
        <v>59</v>
      </c>
      <c r="AG69" s="21" t="s">
        <v>59</v>
      </c>
      <c r="AH69" s="137" t="s">
        <v>59</v>
      </c>
      <c r="AI69" s="137" t="s">
        <v>59</v>
      </c>
      <c r="AJ69" s="21" t="s">
        <v>59</v>
      </c>
      <c r="AK69" s="132" t="s">
        <v>167</v>
      </c>
      <c r="AL69" s="23">
        <f>40*110%</f>
        <v>44</v>
      </c>
      <c r="AM69" s="131">
        <f>AP69/W69*1000</f>
        <v>40.43069394128031</v>
      </c>
      <c r="AN69" s="21">
        <f t="shared" si="128"/>
        <v>0.91887940775637067</v>
      </c>
      <c r="AO69" s="105">
        <f t="shared" si="115"/>
        <v>450489.59999999998</v>
      </c>
      <c r="AP69" s="105">
        <v>450355.64</v>
      </c>
      <c r="AQ69" s="21">
        <f t="shared" si="129"/>
        <v>0.99970263464461784</v>
      </c>
      <c r="AR69" s="21" t="s">
        <v>59</v>
      </c>
      <c r="AS69" s="21" t="s">
        <v>59</v>
      </c>
      <c r="AT69" s="20" t="s">
        <v>59</v>
      </c>
      <c r="AU69" s="21" t="s">
        <v>59</v>
      </c>
      <c r="AV69" s="20" t="s">
        <v>59</v>
      </c>
      <c r="AW69" s="21"/>
      <c r="AX69" s="105">
        <f t="shared" ref="AX69:AY74" si="133">AO69</f>
        <v>450489.59999999998</v>
      </c>
      <c r="AY69" s="140">
        <f>AP69</f>
        <v>450355.64</v>
      </c>
      <c r="AZ69" s="21">
        <f t="shared" si="130"/>
        <v>0.99970263464461784</v>
      </c>
    </row>
    <row r="70" spans="2:52" ht="84" x14ac:dyDescent="0.25">
      <c r="B70" s="141" t="s">
        <v>172</v>
      </c>
      <c r="C70" s="22" t="s">
        <v>173</v>
      </c>
      <c r="D70" s="123">
        <v>44562</v>
      </c>
      <c r="E70" s="123">
        <v>44592</v>
      </c>
      <c r="F70" s="22" t="s">
        <v>111</v>
      </c>
      <c r="G70" s="22" t="s">
        <v>174</v>
      </c>
      <c r="H70" s="22" t="s">
        <v>168</v>
      </c>
      <c r="I70" s="11" t="s">
        <v>175</v>
      </c>
      <c r="J70" s="11" t="s">
        <v>101</v>
      </c>
      <c r="K70" s="11" t="s">
        <v>176</v>
      </c>
      <c r="L70" s="60">
        <v>2200000</v>
      </c>
      <c r="M70" s="137">
        <v>0.6</v>
      </c>
      <c r="N70" s="137">
        <f t="shared" si="114"/>
        <v>0.52843227272727278</v>
      </c>
      <c r="O70" s="21">
        <f t="shared" si="118"/>
        <v>0.88072045454545467</v>
      </c>
      <c r="P70" s="62">
        <f>L70*M70</f>
        <v>1320000</v>
      </c>
      <c r="Q70" s="62">
        <v>1162551</v>
      </c>
      <c r="R70" s="21">
        <f t="shared" si="119"/>
        <v>0.88072045454545456</v>
      </c>
      <c r="S70" s="127">
        <v>6</v>
      </c>
      <c r="T70" s="60">
        <f t="shared" si="120"/>
        <v>5.8804241706385358</v>
      </c>
      <c r="U70" s="21">
        <f t="shared" si="121"/>
        <v>0.98007069510642264</v>
      </c>
      <c r="V70" s="62">
        <f t="shared" si="131"/>
        <v>7920000</v>
      </c>
      <c r="W70" s="62">
        <v>6836293</v>
      </c>
      <c r="X70" s="21">
        <f t="shared" si="122"/>
        <v>0.86316830808080813</v>
      </c>
      <c r="Y70" s="62">
        <f t="shared" si="132"/>
        <v>24552</v>
      </c>
      <c r="Z70" s="62">
        <v>10634</v>
      </c>
      <c r="AA70" s="21">
        <f t="shared" si="123"/>
        <v>0.43312153796024766</v>
      </c>
      <c r="AB70" s="138">
        <v>3.0999999999999999E-3</v>
      </c>
      <c r="AC70" s="138">
        <f t="shared" si="124"/>
        <v>1.5555213914909734E-3</v>
      </c>
      <c r="AD70" s="21">
        <f t="shared" si="125"/>
        <v>0.50178109402934623</v>
      </c>
      <c r="AE70" s="62" t="s">
        <v>59</v>
      </c>
      <c r="AF70" s="62" t="s">
        <v>59</v>
      </c>
      <c r="AG70" s="21" t="s">
        <v>59</v>
      </c>
      <c r="AH70" s="137" t="s">
        <v>59</v>
      </c>
      <c r="AI70" s="137" t="s">
        <v>59</v>
      </c>
      <c r="AJ70" s="21" t="s">
        <v>59</v>
      </c>
      <c r="AK70" s="132" t="s">
        <v>167</v>
      </c>
      <c r="AL70" s="23">
        <f>36*107%</f>
        <v>38.520000000000003</v>
      </c>
      <c r="AM70" s="131">
        <f t="shared" ref="AM70:AM72" si="134">AP70/W70*1000</f>
        <v>44.606939755215294</v>
      </c>
      <c r="AN70" s="21">
        <f t="shared" si="128"/>
        <v>1.1580202428664406</v>
      </c>
      <c r="AO70" s="105">
        <f t="shared" si="115"/>
        <v>305078.40000000002</v>
      </c>
      <c r="AP70" s="105">
        <v>304946.11</v>
      </c>
      <c r="AQ70" s="21">
        <f t="shared" si="129"/>
        <v>0.99956637375835178</v>
      </c>
      <c r="AR70" s="21" t="s">
        <v>59</v>
      </c>
      <c r="AS70" s="21" t="s">
        <v>59</v>
      </c>
      <c r="AT70" s="20" t="s">
        <v>59</v>
      </c>
      <c r="AU70" s="21" t="s">
        <v>59</v>
      </c>
      <c r="AV70" s="20" t="s">
        <v>59</v>
      </c>
      <c r="AW70" s="21"/>
      <c r="AX70" s="105">
        <f t="shared" si="133"/>
        <v>305078.40000000002</v>
      </c>
      <c r="AY70" s="140">
        <f t="shared" si="133"/>
        <v>304946.11</v>
      </c>
      <c r="AZ70" s="21">
        <f t="shared" si="130"/>
        <v>0.99956637375835178</v>
      </c>
    </row>
    <row r="71" spans="2:52" ht="84" x14ac:dyDescent="0.25">
      <c r="B71" s="141" t="s">
        <v>172</v>
      </c>
      <c r="C71" s="22" t="s">
        <v>173</v>
      </c>
      <c r="D71" s="123">
        <v>44562</v>
      </c>
      <c r="E71" s="123">
        <v>44592</v>
      </c>
      <c r="F71" s="22" t="s">
        <v>111</v>
      </c>
      <c r="G71" s="22" t="s">
        <v>174</v>
      </c>
      <c r="H71" s="22" t="s">
        <v>177</v>
      </c>
      <c r="I71" s="11" t="s">
        <v>175</v>
      </c>
      <c r="J71" s="11" t="s">
        <v>101</v>
      </c>
      <c r="K71" s="11" t="s">
        <v>176</v>
      </c>
      <c r="L71" s="142" t="s">
        <v>178</v>
      </c>
      <c r="M71" s="137" t="s">
        <v>59</v>
      </c>
      <c r="N71" s="137" t="s">
        <v>59</v>
      </c>
      <c r="O71" s="21" t="s">
        <v>59</v>
      </c>
      <c r="P71" s="62">
        <f>V71/S71</f>
        <v>190476.1904761905</v>
      </c>
      <c r="Q71" s="62">
        <v>302745</v>
      </c>
      <c r="R71" s="21">
        <f t="shared" si="119"/>
        <v>1.5894112499999997</v>
      </c>
      <c r="S71" s="127">
        <v>6</v>
      </c>
      <c r="T71" s="60">
        <f t="shared" si="120"/>
        <v>5.348369089497762</v>
      </c>
      <c r="U71" s="21">
        <f t="shared" si="121"/>
        <v>0.891394848249627</v>
      </c>
      <c r="V71" s="62">
        <f>AO71/AL71*1000</f>
        <v>1142857.142857143</v>
      </c>
      <c r="W71" s="62">
        <v>1619192</v>
      </c>
      <c r="X71" s="21">
        <f t="shared" si="122"/>
        <v>1.416793</v>
      </c>
      <c r="Y71" s="62">
        <f t="shared" si="132"/>
        <v>5714.2857142857147</v>
      </c>
      <c r="Z71" s="62">
        <v>5793</v>
      </c>
      <c r="AA71" s="21">
        <f t="shared" si="123"/>
        <v>1.0137749999999999</v>
      </c>
      <c r="AB71" s="138">
        <v>5.0000000000000001E-3</v>
      </c>
      <c r="AC71" s="138">
        <f t="shared" si="124"/>
        <v>3.577710364181641E-3</v>
      </c>
      <c r="AD71" s="21">
        <f t="shared" si="125"/>
        <v>0.7155420728363282</v>
      </c>
      <c r="AE71" s="62" t="s">
        <v>59</v>
      </c>
      <c r="AF71" s="62" t="s">
        <v>59</v>
      </c>
      <c r="AG71" s="21" t="s">
        <v>59</v>
      </c>
      <c r="AH71" s="137" t="s">
        <v>59</v>
      </c>
      <c r="AI71" s="137" t="s">
        <v>59</v>
      </c>
      <c r="AJ71" s="21" t="s">
        <v>59</v>
      </c>
      <c r="AK71" s="132" t="s">
        <v>167</v>
      </c>
      <c r="AL71" s="23">
        <v>35</v>
      </c>
      <c r="AM71" s="131">
        <f t="shared" si="134"/>
        <v>24.703679366004774</v>
      </c>
      <c r="AN71" s="21">
        <f t="shared" si="128"/>
        <v>0.70581941045727925</v>
      </c>
      <c r="AO71" s="105">
        <v>40000</v>
      </c>
      <c r="AP71" s="105">
        <v>40000</v>
      </c>
      <c r="AQ71" s="21">
        <f t="shared" si="129"/>
        <v>1</v>
      </c>
      <c r="AR71" s="21" t="s">
        <v>59</v>
      </c>
      <c r="AS71" s="21" t="s">
        <v>59</v>
      </c>
      <c r="AT71" s="21" t="s">
        <v>59</v>
      </c>
      <c r="AU71" s="21" t="s">
        <v>59</v>
      </c>
      <c r="AV71" s="21" t="s">
        <v>59</v>
      </c>
      <c r="AW71" s="21"/>
      <c r="AX71" s="105">
        <f t="shared" si="133"/>
        <v>40000</v>
      </c>
      <c r="AY71" s="140">
        <f t="shared" si="133"/>
        <v>40000</v>
      </c>
      <c r="AZ71" s="21">
        <f t="shared" si="130"/>
        <v>1</v>
      </c>
    </row>
    <row r="72" spans="2:52" ht="144" x14ac:dyDescent="0.25">
      <c r="B72" s="22" t="s">
        <v>179</v>
      </c>
      <c r="C72" s="22" t="s">
        <v>52</v>
      </c>
      <c r="D72" s="123">
        <v>44562</v>
      </c>
      <c r="E72" s="123">
        <v>44592</v>
      </c>
      <c r="F72" s="22" t="s">
        <v>111</v>
      </c>
      <c r="G72" s="22" t="s">
        <v>180</v>
      </c>
      <c r="H72" s="22" t="s">
        <v>181</v>
      </c>
      <c r="I72" s="11" t="s">
        <v>175</v>
      </c>
      <c r="J72" s="11" t="s">
        <v>101</v>
      </c>
      <c r="K72" s="11" t="s">
        <v>176</v>
      </c>
      <c r="L72" s="60">
        <v>3000000</v>
      </c>
      <c r="M72" s="137">
        <v>0.6</v>
      </c>
      <c r="N72" s="137">
        <f>Q72/L72</f>
        <v>0.76444766666666664</v>
      </c>
      <c r="O72" s="21">
        <f t="shared" si="118"/>
        <v>1.2740794444444445</v>
      </c>
      <c r="P72" s="62">
        <f>L72*M72</f>
        <v>1800000</v>
      </c>
      <c r="Q72" s="62">
        <v>2293343</v>
      </c>
      <c r="R72" s="21">
        <f t="shared" si="119"/>
        <v>1.2740794444444445</v>
      </c>
      <c r="S72" s="127">
        <v>6</v>
      </c>
      <c r="T72" s="60">
        <f t="shared" si="120"/>
        <v>6.9780665168707863</v>
      </c>
      <c r="U72" s="21">
        <f t="shared" si="121"/>
        <v>1.163011086145131</v>
      </c>
      <c r="V72" s="62">
        <f t="shared" ref="V72:V73" si="135">P72*S72</f>
        <v>10800000</v>
      </c>
      <c r="W72" s="62">
        <v>16003100</v>
      </c>
      <c r="X72" s="21">
        <f t="shared" si="122"/>
        <v>1.4817685185185185</v>
      </c>
      <c r="Y72" s="62">
        <f t="shared" si="132"/>
        <v>33480</v>
      </c>
      <c r="Z72" s="62">
        <v>76927</v>
      </c>
      <c r="AA72" s="21">
        <f t="shared" si="123"/>
        <v>2.297700119474313</v>
      </c>
      <c r="AB72" s="138">
        <v>3.0999999999999999E-3</v>
      </c>
      <c r="AC72" s="138">
        <f t="shared" si="124"/>
        <v>4.8070061425598788E-3</v>
      </c>
      <c r="AD72" s="21">
        <f t="shared" si="125"/>
        <v>1.5506471427612514</v>
      </c>
      <c r="AE72" s="62" t="s">
        <v>59</v>
      </c>
      <c r="AF72" s="62" t="s">
        <v>59</v>
      </c>
      <c r="AG72" s="21" t="s">
        <v>59</v>
      </c>
      <c r="AH72" s="137" t="s">
        <v>59</v>
      </c>
      <c r="AI72" s="137" t="s">
        <v>59</v>
      </c>
      <c r="AJ72" s="21" t="s">
        <v>59</v>
      </c>
      <c r="AK72" s="132" t="s">
        <v>112</v>
      </c>
      <c r="AL72" s="23">
        <v>7</v>
      </c>
      <c r="AM72" s="131">
        <f t="shared" si="134"/>
        <v>14.644662596621904</v>
      </c>
      <c r="AN72" s="21">
        <f t="shared" si="128"/>
        <v>2.0920946566602718</v>
      </c>
      <c r="AO72" s="105">
        <f>AL72*Y72</f>
        <v>234360</v>
      </c>
      <c r="AP72" s="105">
        <v>234360</v>
      </c>
      <c r="AQ72" s="21">
        <f t="shared" si="129"/>
        <v>1</v>
      </c>
      <c r="AR72" s="21" t="s">
        <v>59</v>
      </c>
      <c r="AS72" s="21" t="s">
        <v>59</v>
      </c>
      <c r="AT72" s="21" t="s">
        <v>59</v>
      </c>
      <c r="AU72" s="21" t="s">
        <v>59</v>
      </c>
      <c r="AV72" s="21" t="s">
        <v>59</v>
      </c>
      <c r="AW72" s="21"/>
      <c r="AX72" s="105">
        <f t="shared" si="133"/>
        <v>234360</v>
      </c>
      <c r="AY72" s="140">
        <f t="shared" si="133"/>
        <v>234360</v>
      </c>
      <c r="AZ72" s="21">
        <f t="shared" si="130"/>
        <v>1</v>
      </c>
    </row>
    <row r="73" spans="2:52" ht="156" x14ac:dyDescent="0.25">
      <c r="B73" s="22" t="s">
        <v>172</v>
      </c>
      <c r="C73" s="22" t="s">
        <v>173</v>
      </c>
      <c r="D73" s="123">
        <v>44562</v>
      </c>
      <c r="E73" s="123">
        <v>44592</v>
      </c>
      <c r="F73" s="22" t="s">
        <v>111</v>
      </c>
      <c r="G73" s="22" t="s">
        <v>182</v>
      </c>
      <c r="H73" s="22" t="s">
        <v>170</v>
      </c>
      <c r="I73" s="11" t="s">
        <v>175</v>
      </c>
      <c r="J73" s="11" t="s">
        <v>101</v>
      </c>
      <c r="K73" s="11" t="s">
        <v>176</v>
      </c>
      <c r="L73" s="143">
        <v>3500000</v>
      </c>
      <c r="M73" s="137">
        <v>0.6</v>
      </c>
      <c r="N73" s="137">
        <f>Q73/L73</f>
        <v>0.6100388571428571</v>
      </c>
      <c r="O73" s="21">
        <f t="shared" si="118"/>
        <v>1.0167314285714286</v>
      </c>
      <c r="P73" s="62">
        <f>L73*M73</f>
        <v>2100000</v>
      </c>
      <c r="Q73" s="62">
        <v>2135136</v>
      </c>
      <c r="R73" s="21">
        <f t="shared" si="119"/>
        <v>1.0167314285714286</v>
      </c>
      <c r="S73" s="60">
        <v>6.24</v>
      </c>
      <c r="T73" s="60">
        <f t="shared" si="120"/>
        <v>7.2122080279663683</v>
      </c>
      <c r="U73" s="21">
        <f t="shared" si="121"/>
        <v>1.1558025685843538</v>
      </c>
      <c r="V73" s="62">
        <f t="shared" si="135"/>
        <v>13104000</v>
      </c>
      <c r="W73" s="62">
        <v>15399045</v>
      </c>
      <c r="X73" s="21">
        <f t="shared" si="122"/>
        <v>1.1751407967032967</v>
      </c>
      <c r="Y73" s="62">
        <f t="shared" si="132"/>
        <v>40622.400000000001</v>
      </c>
      <c r="Z73" s="62">
        <v>46138</v>
      </c>
      <c r="AA73" s="21">
        <f t="shared" si="123"/>
        <v>1.1357773051321438</v>
      </c>
      <c r="AB73" s="138">
        <v>3.0999999999999999E-3</v>
      </c>
      <c r="AC73" s="138">
        <f t="shared" si="124"/>
        <v>2.9961598267944536E-3</v>
      </c>
      <c r="AD73" s="21">
        <f t="shared" si="125"/>
        <v>0.96650316993369478</v>
      </c>
      <c r="AE73" s="62" t="s">
        <v>59</v>
      </c>
      <c r="AF73" s="62" t="s">
        <v>59</v>
      </c>
      <c r="AG73" s="21" t="s">
        <v>59</v>
      </c>
      <c r="AH73" s="137" t="s">
        <v>59</v>
      </c>
      <c r="AI73" s="137" t="s">
        <v>59</v>
      </c>
      <c r="AJ73" s="21" t="s">
        <v>59</v>
      </c>
      <c r="AK73" s="132" t="s">
        <v>167</v>
      </c>
      <c r="AL73" s="23">
        <f>27*110%</f>
        <v>29.700000000000003</v>
      </c>
      <c r="AM73" s="131">
        <f>AP73/W73*1000</f>
        <v>25.265758363586833</v>
      </c>
      <c r="AN73" s="21">
        <f t="shared" si="128"/>
        <v>0.85069893480090342</v>
      </c>
      <c r="AO73" s="105">
        <f t="shared" ref="AO73:AO74" si="136">AL73*V73/1000</f>
        <v>389188.80000000005</v>
      </c>
      <c r="AP73" s="105">
        <v>389068.55</v>
      </c>
      <c r="AQ73" s="21">
        <f t="shared" si="129"/>
        <v>0.99969102399657939</v>
      </c>
      <c r="AR73" s="21" t="s">
        <v>59</v>
      </c>
      <c r="AS73" s="21" t="s">
        <v>59</v>
      </c>
      <c r="AT73" s="21" t="s">
        <v>59</v>
      </c>
      <c r="AU73" s="21" t="s">
        <v>59</v>
      </c>
      <c r="AV73" s="21" t="s">
        <v>59</v>
      </c>
      <c r="AW73" s="21" t="s">
        <v>59</v>
      </c>
      <c r="AX73" s="105">
        <f t="shared" si="133"/>
        <v>389188.80000000005</v>
      </c>
      <c r="AY73" s="140">
        <f t="shared" si="133"/>
        <v>389068.55</v>
      </c>
      <c r="AZ73" s="21">
        <f t="shared" si="130"/>
        <v>0.99969102399657939</v>
      </c>
    </row>
    <row r="74" spans="2:52" ht="156" x14ac:dyDescent="0.25">
      <c r="B74" s="22" t="s">
        <v>172</v>
      </c>
      <c r="C74" s="22" t="s">
        <v>173</v>
      </c>
      <c r="D74" s="123">
        <v>44562</v>
      </c>
      <c r="E74" s="123">
        <v>44592</v>
      </c>
      <c r="F74" s="22" t="s">
        <v>111</v>
      </c>
      <c r="G74" s="22" t="s">
        <v>182</v>
      </c>
      <c r="H74" s="22" t="s">
        <v>171</v>
      </c>
      <c r="I74" s="11" t="s">
        <v>175</v>
      </c>
      <c r="J74" s="11" t="s">
        <v>101</v>
      </c>
      <c r="K74" s="11" t="s">
        <v>176</v>
      </c>
      <c r="L74" s="143">
        <v>2800000</v>
      </c>
      <c r="M74" s="137">
        <v>0.61199999999999999</v>
      </c>
      <c r="N74" s="137">
        <f>Q74/L74</f>
        <v>0.6338435714285714</v>
      </c>
      <c r="O74" s="21">
        <f t="shared" si="118"/>
        <v>1.0356921101774044</v>
      </c>
      <c r="P74" s="62">
        <f>L74*M74</f>
        <v>1713600</v>
      </c>
      <c r="Q74" s="62">
        <v>1774762</v>
      </c>
      <c r="R74" s="21">
        <f t="shared" si="119"/>
        <v>1.0356921101774044</v>
      </c>
      <c r="S74" s="60">
        <v>6</v>
      </c>
      <c r="T74" s="60">
        <f t="shared" si="120"/>
        <v>7.2401054338553568</v>
      </c>
      <c r="U74" s="21">
        <f t="shared" si="121"/>
        <v>1.2066842389758927</v>
      </c>
      <c r="V74" s="62">
        <f>P74*S74</f>
        <v>10281600</v>
      </c>
      <c r="W74" s="62">
        <v>12849464</v>
      </c>
      <c r="X74" s="21">
        <f t="shared" si="122"/>
        <v>1.2497533457827577</v>
      </c>
      <c r="Y74" s="62">
        <f>V74*AB74</f>
        <v>31872.959999999999</v>
      </c>
      <c r="Z74" s="62">
        <v>37611</v>
      </c>
      <c r="AA74" s="21">
        <f t="shared" si="123"/>
        <v>1.1800284629981026</v>
      </c>
      <c r="AB74" s="138">
        <v>3.0999999999999999E-3</v>
      </c>
      <c r="AC74" s="138">
        <f t="shared" si="124"/>
        <v>2.9270481632541249E-3</v>
      </c>
      <c r="AD74" s="21">
        <f t="shared" si="125"/>
        <v>0.94420908492068545</v>
      </c>
      <c r="AE74" s="62" t="s">
        <v>59</v>
      </c>
      <c r="AF74" s="62" t="s">
        <v>59</v>
      </c>
      <c r="AG74" s="21" t="s">
        <v>59</v>
      </c>
      <c r="AH74" s="137" t="s">
        <v>59</v>
      </c>
      <c r="AI74" s="137" t="s">
        <v>59</v>
      </c>
      <c r="AJ74" s="21" t="s">
        <v>59</v>
      </c>
      <c r="AK74" s="132" t="s">
        <v>167</v>
      </c>
      <c r="AL74" s="23">
        <f>26*108%</f>
        <v>28.080000000000002</v>
      </c>
      <c r="AM74" s="131">
        <f>AP74/W74*1000</f>
        <v>22.455974817315337</v>
      </c>
      <c r="AN74" s="21">
        <f t="shared" si="128"/>
        <v>0.79971420289584527</v>
      </c>
      <c r="AO74" s="105">
        <f t="shared" si="136"/>
        <v>288707.32799999998</v>
      </c>
      <c r="AP74" s="105">
        <v>288547.24</v>
      </c>
      <c r="AQ74" s="21">
        <f t="shared" si="129"/>
        <v>0.99944550073907379</v>
      </c>
      <c r="AR74" s="21" t="s">
        <v>59</v>
      </c>
      <c r="AS74" s="21" t="s">
        <v>59</v>
      </c>
      <c r="AT74" s="21" t="s">
        <v>59</v>
      </c>
      <c r="AU74" s="21" t="s">
        <v>59</v>
      </c>
      <c r="AV74" s="21" t="s">
        <v>59</v>
      </c>
      <c r="AW74" s="21" t="s">
        <v>59</v>
      </c>
      <c r="AX74" s="105">
        <f t="shared" si="133"/>
        <v>288707.32799999998</v>
      </c>
      <c r="AY74" s="140">
        <f t="shared" si="133"/>
        <v>288547.24</v>
      </c>
      <c r="AZ74" s="21">
        <f t="shared" si="130"/>
        <v>0.99944550073907379</v>
      </c>
    </row>
    <row r="76" spans="2:52" ht="156" x14ac:dyDescent="0.25">
      <c r="B76" s="93" t="s">
        <v>184</v>
      </c>
      <c r="C76" s="59" t="s">
        <v>185</v>
      </c>
      <c r="D76" s="58">
        <v>44564</v>
      </c>
      <c r="E76" s="58">
        <v>44607</v>
      </c>
      <c r="F76" s="59" t="s">
        <v>111</v>
      </c>
      <c r="G76" s="93" t="s">
        <v>186</v>
      </c>
      <c r="H76" s="93" t="s">
        <v>181</v>
      </c>
      <c r="I76" s="144" t="s">
        <v>187</v>
      </c>
      <c r="J76" s="22" t="s">
        <v>101</v>
      </c>
      <c r="K76" s="22" t="s">
        <v>188</v>
      </c>
      <c r="L76" s="145">
        <v>3900000</v>
      </c>
      <c r="M76" s="146">
        <v>0.5</v>
      </c>
      <c r="N76" s="146">
        <f>Q76/L76</f>
        <v>0.44965794871794873</v>
      </c>
      <c r="O76" s="146">
        <f>N76/M76</f>
        <v>0.89931589743589746</v>
      </c>
      <c r="P76" s="103">
        <f>M76*L76</f>
        <v>1950000</v>
      </c>
      <c r="Q76" s="103">
        <v>1753666</v>
      </c>
      <c r="R76" s="146">
        <f>Q76/P76</f>
        <v>0.89931589743589746</v>
      </c>
      <c r="S76" s="147">
        <v>3</v>
      </c>
      <c r="T76" s="147">
        <f>W76/Q76</f>
        <v>4.642976484689787</v>
      </c>
      <c r="U76" s="146">
        <f>T76/S76</f>
        <v>1.5476588282299291</v>
      </c>
      <c r="V76" s="103">
        <f>P76*S76</f>
        <v>5850000</v>
      </c>
      <c r="W76" s="103">
        <v>8142230</v>
      </c>
      <c r="X76" s="146">
        <f>W76/V76</f>
        <v>1.391834188034188</v>
      </c>
      <c r="Y76" s="103">
        <f t="shared" ref="Y76:Y77" si="137">AB76*V76</f>
        <v>74446.176521652407</v>
      </c>
      <c r="Z76" s="103">
        <v>68452</v>
      </c>
      <c r="AA76" s="146">
        <f>Z76/Y76</f>
        <v>0.91948308426680558</v>
      </c>
      <c r="AB76" s="138">
        <v>1.2725842140453402E-2</v>
      </c>
      <c r="AC76" s="138">
        <f>Z76/W76</f>
        <v>8.4070334539800527E-3</v>
      </c>
      <c r="AD76" s="146">
        <f>AC76/AB76</f>
        <v>0.66062688513599022</v>
      </c>
      <c r="AE76" s="146" t="s">
        <v>59</v>
      </c>
      <c r="AF76" s="103">
        <v>531440</v>
      </c>
      <c r="AG76" s="146" t="s">
        <v>59</v>
      </c>
      <c r="AH76" s="146" t="s">
        <v>59</v>
      </c>
      <c r="AI76" s="146" t="s">
        <v>59</v>
      </c>
      <c r="AJ76" s="146" t="s">
        <v>59</v>
      </c>
      <c r="AK76" s="110" t="s">
        <v>167</v>
      </c>
      <c r="AL76" s="108">
        <v>180.78155879560708</v>
      </c>
      <c r="AM76" s="118">
        <f>AP76/W76*1000</f>
        <v>123.36497495157961</v>
      </c>
      <c r="AN76" s="146">
        <f>AM76/AL76</f>
        <v>0.6823980043841581</v>
      </c>
      <c r="AO76" s="145">
        <f>AL76*V76/1000</f>
        <v>1057572.1189543016</v>
      </c>
      <c r="AP76" s="145">
        <v>1004466</v>
      </c>
      <c r="AQ76" s="146">
        <f>AP76/AO76</f>
        <v>0.94978487234817477</v>
      </c>
      <c r="AR76" s="146" t="s">
        <v>59</v>
      </c>
      <c r="AS76" s="146" t="s">
        <v>59</v>
      </c>
      <c r="AT76" s="146" t="s">
        <v>59</v>
      </c>
      <c r="AU76" s="146" t="s">
        <v>59</v>
      </c>
      <c r="AV76" s="146" t="s">
        <v>59</v>
      </c>
      <c r="AW76" s="146" t="s">
        <v>59</v>
      </c>
      <c r="AX76" s="145">
        <f t="shared" ref="AX76:AZ77" si="138">AO76</f>
        <v>1057572.1189543016</v>
      </c>
      <c r="AY76" s="145">
        <f t="shared" si="138"/>
        <v>1004466</v>
      </c>
      <c r="AZ76" s="148">
        <f t="shared" si="138"/>
        <v>0.94978487234817477</v>
      </c>
    </row>
    <row r="77" spans="2:52" ht="84" x14ac:dyDescent="0.25">
      <c r="B77" s="93" t="s">
        <v>184</v>
      </c>
      <c r="C77" s="59" t="s">
        <v>185</v>
      </c>
      <c r="D77" s="58">
        <v>44571</v>
      </c>
      <c r="E77" s="58">
        <v>44607</v>
      </c>
      <c r="F77" s="59" t="s">
        <v>111</v>
      </c>
      <c r="G77" s="93" t="s">
        <v>189</v>
      </c>
      <c r="H77" s="93" t="s">
        <v>190</v>
      </c>
      <c r="I77" s="144" t="s">
        <v>187</v>
      </c>
      <c r="J77" s="22" t="s">
        <v>101</v>
      </c>
      <c r="K77" s="22" t="s">
        <v>188</v>
      </c>
      <c r="L77" s="145">
        <v>119000</v>
      </c>
      <c r="M77" s="146">
        <v>0.65</v>
      </c>
      <c r="N77" s="146">
        <f>Q77/L77</f>
        <v>0.99774789915966389</v>
      </c>
      <c r="O77" s="146">
        <f>N77/M77</f>
        <v>1.5349967679379444</v>
      </c>
      <c r="P77" s="103">
        <f>M77*L77</f>
        <v>77350</v>
      </c>
      <c r="Q77" s="103">
        <v>118732</v>
      </c>
      <c r="R77" s="146">
        <f>Q77/P77</f>
        <v>1.5349967679379444</v>
      </c>
      <c r="S77" s="147">
        <v>3</v>
      </c>
      <c r="T77" s="147">
        <f>W77/Q77</f>
        <v>7.8803945019034467</v>
      </c>
      <c r="U77" s="146">
        <f>T77/S77</f>
        <v>2.6267981673011489</v>
      </c>
      <c r="V77" s="103">
        <f>P77*S77</f>
        <v>232050</v>
      </c>
      <c r="W77" s="103">
        <v>935655</v>
      </c>
      <c r="X77" s="146">
        <f>W77/V77</f>
        <v>4.0321266968325791</v>
      </c>
      <c r="Y77" s="103">
        <f t="shared" si="137"/>
        <v>11138.4</v>
      </c>
      <c r="Z77" s="103">
        <v>15870</v>
      </c>
      <c r="AA77" s="146">
        <f>Z77/Y77</f>
        <v>1.4248006895065719</v>
      </c>
      <c r="AB77" s="149">
        <v>4.8000000000000001E-2</v>
      </c>
      <c r="AC77" s="138">
        <f>Z77/W77</f>
        <v>1.6961379995831798E-2</v>
      </c>
      <c r="AD77" s="146">
        <f>AC77/AB77</f>
        <v>0.35336208324649576</v>
      </c>
      <c r="AE77" s="146" t="s">
        <v>59</v>
      </c>
      <c r="AF77" s="103">
        <v>35265</v>
      </c>
      <c r="AG77" s="146" t="s">
        <v>59</v>
      </c>
      <c r="AH77" s="146" t="s">
        <v>59</v>
      </c>
      <c r="AI77" s="146" t="s">
        <v>59</v>
      </c>
      <c r="AJ77" s="146" t="s">
        <v>59</v>
      </c>
      <c r="AK77" s="110" t="s">
        <v>167</v>
      </c>
      <c r="AL77" s="108">
        <v>145.38874643185446</v>
      </c>
      <c r="AM77" s="118">
        <f>AP77/W77*1000</f>
        <v>97.081680747711502</v>
      </c>
      <c r="AN77" s="146">
        <f>AM77/AL77</f>
        <v>0.66773861891171138</v>
      </c>
      <c r="AO77" s="145">
        <f t="shared" ref="AO77" si="139">AL77*V77/1000</f>
        <v>33737.458609511828</v>
      </c>
      <c r="AP77" s="145">
        <v>90834.96</v>
      </c>
      <c r="AQ77" s="146">
        <f>AP77/AO77</f>
        <v>2.692406711820027</v>
      </c>
      <c r="AR77" s="146" t="s">
        <v>59</v>
      </c>
      <c r="AS77" s="146" t="s">
        <v>59</v>
      </c>
      <c r="AT77" s="146" t="s">
        <v>59</v>
      </c>
      <c r="AU77" s="146" t="s">
        <v>59</v>
      </c>
      <c r="AV77" s="146" t="s">
        <v>59</v>
      </c>
      <c r="AW77" s="146" t="s">
        <v>59</v>
      </c>
      <c r="AX77" s="145">
        <f t="shared" si="138"/>
        <v>33737.458609511828</v>
      </c>
      <c r="AY77" s="145">
        <f t="shared" si="138"/>
        <v>90834.96</v>
      </c>
      <c r="AZ77" s="148">
        <f t="shared" si="138"/>
        <v>2.692406711820027</v>
      </c>
    </row>
    <row r="79" spans="2:52" ht="108" x14ac:dyDescent="0.25">
      <c r="B79" s="150" t="s">
        <v>105</v>
      </c>
      <c r="C79" s="22" t="s">
        <v>52</v>
      </c>
      <c r="D79" s="151">
        <v>44562</v>
      </c>
      <c r="E79" s="151">
        <v>44592</v>
      </c>
      <c r="F79" s="152" t="s">
        <v>72</v>
      </c>
      <c r="G79" s="141" t="s">
        <v>192</v>
      </c>
      <c r="H79" s="22" t="s">
        <v>135</v>
      </c>
      <c r="I79" s="60" t="s">
        <v>193</v>
      </c>
      <c r="J79" s="11" t="s">
        <v>194</v>
      </c>
      <c r="K79" s="153" t="s">
        <v>195</v>
      </c>
      <c r="L79" s="154">
        <v>15030000</v>
      </c>
      <c r="M79" s="137">
        <v>0.6</v>
      </c>
      <c r="N79" s="137">
        <f t="shared" ref="N79:N111" si="140">Q79/L79</f>
        <v>0.80481856287425146</v>
      </c>
      <c r="O79" s="155">
        <f>N79/M79</f>
        <v>1.3413642714570859</v>
      </c>
      <c r="P79" s="62">
        <v>9018000</v>
      </c>
      <c r="Q79" s="62">
        <v>12096423</v>
      </c>
      <c r="R79" s="155">
        <f>Q79/P79</f>
        <v>1.3413642714570859</v>
      </c>
      <c r="S79" s="60">
        <v>3.12</v>
      </c>
      <c r="T79" s="127">
        <f>W79/Q79</f>
        <v>1.9391465559694796</v>
      </c>
      <c r="U79" s="155">
        <f>T79/S79</f>
        <v>0.62152133204149984</v>
      </c>
      <c r="V79" s="62">
        <v>28136160</v>
      </c>
      <c r="W79" s="62">
        <v>23456737</v>
      </c>
      <c r="X79" s="155">
        <f>W79/V79</f>
        <v>0.83368650874888395</v>
      </c>
      <c r="Y79" s="62">
        <v>140680.80000000002</v>
      </c>
      <c r="Z79" s="62">
        <v>98590</v>
      </c>
      <c r="AA79" s="155">
        <f>Z79/Y79</f>
        <v>0.70080636447901912</v>
      </c>
      <c r="AB79" s="149">
        <v>5.0000000000000001E-3</v>
      </c>
      <c r="AC79" s="149">
        <f>Z79/W79</f>
        <v>4.2030568872388346E-3</v>
      </c>
      <c r="AD79" s="155">
        <f>AC79/AB79</f>
        <v>0.84061137744776693</v>
      </c>
      <c r="AE79" s="62">
        <v>15474888.000000002</v>
      </c>
      <c r="AF79" s="62">
        <v>11091143</v>
      </c>
      <c r="AG79" s="155">
        <f>AF79/AE79</f>
        <v>0.71671878982258219</v>
      </c>
      <c r="AH79" s="137">
        <v>0.55000000000000004</v>
      </c>
      <c r="AI79" s="137">
        <f>AF79/W79</f>
        <v>0.47283400926565361</v>
      </c>
      <c r="AJ79" s="155">
        <f>AI79/AH79</f>
        <v>0.85969819866482466</v>
      </c>
      <c r="AK79" s="132" t="s">
        <v>60</v>
      </c>
      <c r="AL79" s="23">
        <v>86</v>
      </c>
      <c r="AM79" s="23">
        <f>AP79/W79*1000</f>
        <v>75.876678519608248</v>
      </c>
      <c r="AN79" s="155">
        <f>AM79/AL79</f>
        <v>0.88228695953032843</v>
      </c>
      <c r="AO79" s="62">
        <v>2419709.7599999998</v>
      </c>
      <c r="AP79" s="62">
        <v>1779819.292468</v>
      </c>
      <c r="AQ79" s="155">
        <f>AP79/AO79</f>
        <v>0.73555073500550749</v>
      </c>
      <c r="AR79" s="156">
        <v>3.4999999999999976E-2</v>
      </c>
      <c r="AS79" s="156">
        <f>AV79/AP79</f>
        <v>3.4999999995853605E-2</v>
      </c>
      <c r="AT79" s="155">
        <f t="shared" ref="AT79:AT92" si="141">AS79/AR79</f>
        <v>0.99999999988153232</v>
      </c>
      <c r="AU79" s="157">
        <v>84689.841599999927</v>
      </c>
      <c r="AV79" s="157">
        <f>AY79-AP79</f>
        <v>62293.67522900016</v>
      </c>
      <c r="AW79" s="155">
        <f t="shared" ref="AW79:AW92" si="142">AV79/AU79</f>
        <v>0.73555073491836842</v>
      </c>
      <c r="AX79" s="62">
        <v>2504399.6015999997</v>
      </c>
      <c r="AY79" s="62">
        <v>1842112.9676970001</v>
      </c>
      <c r="AZ79" s="155">
        <f>AY79/AX79</f>
        <v>0.73555073500256074</v>
      </c>
    </row>
    <row r="80" spans="2:52" ht="108" x14ac:dyDescent="0.25">
      <c r="B80" s="150" t="s">
        <v>105</v>
      </c>
      <c r="C80" s="22" t="s">
        <v>52</v>
      </c>
      <c r="D80" s="151">
        <v>44562</v>
      </c>
      <c r="E80" s="151">
        <v>44592</v>
      </c>
      <c r="F80" s="158" t="s">
        <v>72</v>
      </c>
      <c r="G80" s="159" t="s">
        <v>192</v>
      </c>
      <c r="H80" s="150" t="s">
        <v>196</v>
      </c>
      <c r="I80" s="60" t="s">
        <v>193</v>
      </c>
      <c r="J80" s="11" t="s">
        <v>194</v>
      </c>
      <c r="K80" s="153" t="s">
        <v>195</v>
      </c>
      <c r="L80" s="154">
        <v>11360000</v>
      </c>
      <c r="M80" s="160">
        <v>0.6</v>
      </c>
      <c r="N80" s="160">
        <f t="shared" si="140"/>
        <v>0.46634603873239439</v>
      </c>
      <c r="O80" s="161">
        <f t="shared" ref="O80:O84" si="143">N80/M80</f>
        <v>0.77724339788732399</v>
      </c>
      <c r="P80" s="62">
        <v>6816000</v>
      </c>
      <c r="Q80" s="62">
        <v>5297691</v>
      </c>
      <c r="R80" s="161">
        <f t="shared" ref="R80:R84" si="144">Q80/P80</f>
        <v>0.77724339788732399</v>
      </c>
      <c r="S80" s="60">
        <v>3.12</v>
      </c>
      <c r="T80" s="127">
        <f t="shared" ref="T80:T84" si="145">W80/Q80</f>
        <v>1.8099460689572118</v>
      </c>
      <c r="U80" s="161">
        <f t="shared" ref="U80:U84" si="146">T80/S80</f>
        <v>0.58011091953756788</v>
      </c>
      <c r="V80" s="62">
        <v>21265920</v>
      </c>
      <c r="W80" s="62">
        <v>9588535</v>
      </c>
      <c r="X80" s="161">
        <f t="shared" ref="X80:X84" si="147">W80/V80</f>
        <v>0.45088738225291924</v>
      </c>
      <c r="Y80" s="62">
        <v>106329.60000000001</v>
      </c>
      <c r="Z80" s="62">
        <v>38923</v>
      </c>
      <c r="AA80" s="161">
        <f t="shared" ref="AA80:AA84" si="148">Z80/Y80</f>
        <v>0.36605987420247982</v>
      </c>
      <c r="AB80" s="162">
        <v>5.0000000000000001E-3</v>
      </c>
      <c r="AC80" s="162">
        <f t="shared" ref="AC80:AC84" si="149">Z80/W80</f>
        <v>4.0593271026282953E-3</v>
      </c>
      <c r="AD80" s="161">
        <f t="shared" ref="AD80:AD84" si="150">AC80/AB80</f>
        <v>0.81186542052565902</v>
      </c>
      <c r="AE80" s="62">
        <v>11696256.000000002</v>
      </c>
      <c r="AF80" s="62">
        <v>4390886</v>
      </c>
      <c r="AG80" s="161">
        <f t="shared" ref="AG80:AG84" si="151">AF80/AE80</f>
        <v>0.37540953275988481</v>
      </c>
      <c r="AH80" s="160">
        <v>0.55000000000000004</v>
      </c>
      <c r="AI80" s="160">
        <f t="shared" ref="AI80:AI84" si="152">AF80/W80</f>
        <v>0.45793085179331355</v>
      </c>
      <c r="AJ80" s="161">
        <f t="shared" ref="AJ80:AJ84" si="153">AI80/AH80</f>
        <v>0.83260154871511549</v>
      </c>
      <c r="AK80" s="163" t="s">
        <v>60</v>
      </c>
      <c r="AL80" s="164">
        <v>86</v>
      </c>
      <c r="AM80" s="164">
        <f t="shared" ref="AM80:AM84" si="154">AP80/W80*1000</f>
        <v>77.254842317517756</v>
      </c>
      <c r="AN80" s="161">
        <f t="shared" ref="AN80:AN84" si="155">AM80/AL80</f>
        <v>0.89831211997113669</v>
      </c>
      <c r="AO80" s="62">
        <v>1828869.1200000001</v>
      </c>
      <c r="AP80" s="62">
        <v>740760.75948100002</v>
      </c>
      <c r="AQ80" s="161">
        <f t="shared" ref="AQ80:AQ84" si="156">AP80/AO80</f>
        <v>0.40503760021985608</v>
      </c>
      <c r="AR80" s="156">
        <v>3.4999999999999976E-2</v>
      </c>
      <c r="AS80" s="156">
        <f t="shared" ref="AS80:AS92" si="157">AV80/AP80</f>
        <v>3.4999999973223499E-2</v>
      </c>
      <c r="AT80" s="155">
        <f t="shared" si="141"/>
        <v>0.99999999923495775</v>
      </c>
      <c r="AU80" s="165">
        <v>64010.419199999887</v>
      </c>
      <c r="AV80" s="157">
        <f t="shared" ref="AV80:AV84" si="158">AY80-AP80</f>
        <v>25926.626562000019</v>
      </c>
      <c r="AW80" s="155">
        <f t="shared" si="142"/>
        <v>0.40503759990998567</v>
      </c>
      <c r="AX80" s="62">
        <v>1892879.5392</v>
      </c>
      <c r="AY80" s="62">
        <v>766687.38604300003</v>
      </c>
      <c r="AZ80" s="161">
        <f t="shared" ref="AZ80:AZ84" si="159">AY80/AX80</f>
        <v>0.40503760020937735</v>
      </c>
    </row>
    <row r="81" spans="1:52" ht="108" x14ac:dyDescent="0.25">
      <c r="B81" s="150" t="s">
        <v>105</v>
      </c>
      <c r="C81" s="22" t="s">
        <v>52</v>
      </c>
      <c r="D81" s="151">
        <v>44562</v>
      </c>
      <c r="E81" s="151">
        <v>44592</v>
      </c>
      <c r="F81" s="152" t="s">
        <v>72</v>
      </c>
      <c r="G81" s="141" t="s">
        <v>192</v>
      </c>
      <c r="H81" s="22" t="s">
        <v>197</v>
      </c>
      <c r="I81" s="60" t="s">
        <v>193</v>
      </c>
      <c r="J81" s="11" t="s">
        <v>194</v>
      </c>
      <c r="K81" s="153" t="s">
        <v>195</v>
      </c>
      <c r="L81" s="154">
        <v>8710000</v>
      </c>
      <c r="M81" s="137">
        <v>0.6</v>
      </c>
      <c r="N81" s="137">
        <f t="shared" si="140"/>
        <v>0.77497979334098732</v>
      </c>
      <c r="O81" s="155">
        <f t="shared" si="143"/>
        <v>1.2916329889016456</v>
      </c>
      <c r="P81" s="62">
        <v>5226000</v>
      </c>
      <c r="Q81" s="62">
        <v>6750074</v>
      </c>
      <c r="R81" s="155">
        <f t="shared" si="144"/>
        <v>1.2916329889016456</v>
      </c>
      <c r="S81" s="60">
        <v>3.12</v>
      </c>
      <c r="T81" s="127">
        <f t="shared" si="145"/>
        <v>1.7645043595077625</v>
      </c>
      <c r="U81" s="155">
        <f t="shared" si="146"/>
        <v>0.56554626907300076</v>
      </c>
      <c r="V81" s="62">
        <v>16305120</v>
      </c>
      <c r="W81" s="62">
        <v>11910535</v>
      </c>
      <c r="X81" s="155">
        <f t="shared" si="147"/>
        <v>0.73047821788493428</v>
      </c>
      <c r="Y81" s="62">
        <v>81525.600000000006</v>
      </c>
      <c r="Z81" s="62">
        <v>47062</v>
      </c>
      <c r="AA81" s="155">
        <f t="shared" si="148"/>
        <v>0.57726652732393258</v>
      </c>
      <c r="AB81" s="149">
        <v>5.0000000000000001E-3</v>
      </c>
      <c r="AC81" s="149">
        <f t="shared" si="149"/>
        <v>3.9512918605251572E-3</v>
      </c>
      <c r="AD81" s="155">
        <f t="shared" si="150"/>
        <v>0.79025837210503147</v>
      </c>
      <c r="AE81" s="62">
        <v>8967816</v>
      </c>
      <c r="AF81" s="62">
        <v>5148349</v>
      </c>
      <c r="AG81" s="155">
        <f t="shared" si="151"/>
        <v>0.57409172980355527</v>
      </c>
      <c r="AH81" s="137">
        <v>0.55000000000000004</v>
      </c>
      <c r="AI81" s="137">
        <f t="shared" si="152"/>
        <v>0.43225169986066958</v>
      </c>
      <c r="AJ81" s="155">
        <f t="shared" si="153"/>
        <v>0.78591218156485376</v>
      </c>
      <c r="AK81" s="132" t="s">
        <v>60</v>
      </c>
      <c r="AL81" s="23">
        <v>86</v>
      </c>
      <c r="AM81" s="23">
        <f t="shared" si="154"/>
        <v>77.767279966852868</v>
      </c>
      <c r="AN81" s="155">
        <f t="shared" si="155"/>
        <v>0.90427069728898679</v>
      </c>
      <c r="AO81" s="62">
        <v>1402240.32</v>
      </c>
      <c r="AP81" s="62">
        <v>926249.90989999997</v>
      </c>
      <c r="AQ81" s="155">
        <f t="shared" si="156"/>
        <v>0.66055004744122603</v>
      </c>
      <c r="AR81" s="156">
        <v>3.4999999999999976E-2</v>
      </c>
      <c r="AS81" s="156">
        <f t="shared" si="157"/>
        <v>3.4999999986504715E-2</v>
      </c>
      <c r="AT81" s="155">
        <f t="shared" si="141"/>
        <v>0.9999999996144211</v>
      </c>
      <c r="AU81" s="157">
        <v>49078.411199999973</v>
      </c>
      <c r="AV81" s="157">
        <f t="shared" si="158"/>
        <v>32418.74683399999</v>
      </c>
      <c r="AW81" s="155">
        <f t="shared" si="142"/>
        <v>0.66055004718653176</v>
      </c>
      <c r="AX81" s="62">
        <v>1451318.7312</v>
      </c>
      <c r="AY81" s="62">
        <v>958668.65673399996</v>
      </c>
      <c r="AZ81" s="155">
        <f t="shared" si="159"/>
        <v>0.66055004743261314</v>
      </c>
    </row>
    <row r="82" spans="1:52" ht="108" x14ac:dyDescent="0.25">
      <c r="B82" s="150" t="s">
        <v>105</v>
      </c>
      <c r="C82" s="22" t="s">
        <v>52</v>
      </c>
      <c r="D82" s="151">
        <v>44562</v>
      </c>
      <c r="E82" s="151">
        <v>44592</v>
      </c>
      <c r="F82" s="152" t="s">
        <v>72</v>
      </c>
      <c r="G82" s="141" t="s">
        <v>192</v>
      </c>
      <c r="H82" s="22" t="s">
        <v>198</v>
      </c>
      <c r="I82" s="60" t="s">
        <v>193</v>
      </c>
      <c r="J82" s="11" t="s">
        <v>194</v>
      </c>
      <c r="K82" s="153" t="s">
        <v>195</v>
      </c>
      <c r="L82" s="154">
        <v>6060000</v>
      </c>
      <c r="M82" s="137">
        <v>0.6</v>
      </c>
      <c r="N82" s="137">
        <f t="shared" si="140"/>
        <v>0.77499735973597361</v>
      </c>
      <c r="O82" s="155">
        <f t="shared" si="143"/>
        <v>1.2916622662266228</v>
      </c>
      <c r="P82" s="62">
        <v>3636000</v>
      </c>
      <c r="Q82" s="62">
        <v>4696484</v>
      </c>
      <c r="R82" s="155">
        <f t="shared" si="144"/>
        <v>1.2916622662266226</v>
      </c>
      <c r="S82" s="60">
        <v>3.12</v>
      </c>
      <c r="T82" s="127">
        <f t="shared" si="145"/>
        <v>1.9520358208395898</v>
      </c>
      <c r="U82" s="155">
        <f t="shared" si="146"/>
        <v>0.62565250667935568</v>
      </c>
      <c r="V82" s="62">
        <v>11344320</v>
      </c>
      <c r="W82" s="62">
        <v>9167705</v>
      </c>
      <c r="X82" s="155">
        <f t="shared" si="147"/>
        <v>0.80813173464782373</v>
      </c>
      <c r="Y82" s="62">
        <v>56721.599999999999</v>
      </c>
      <c r="Z82" s="62">
        <v>37853</v>
      </c>
      <c r="AA82" s="155">
        <f t="shared" si="148"/>
        <v>0.6673471834362924</v>
      </c>
      <c r="AB82" s="149">
        <v>5.0000000000000001E-3</v>
      </c>
      <c r="AC82" s="149">
        <f t="shared" si="149"/>
        <v>4.1289504843360471E-3</v>
      </c>
      <c r="AD82" s="155">
        <f t="shared" si="150"/>
        <v>0.82579009686720939</v>
      </c>
      <c r="AE82" s="62">
        <v>6239376.0000000009</v>
      </c>
      <c r="AF82" s="62">
        <v>4441580</v>
      </c>
      <c r="AG82" s="155">
        <f t="shared" si="151"/>
        <v>0.71186285295196172</v>
      </c>
      <c r="AH82" s="137">
        <v>0.55000000000000004</v>
      </c>
      <c r="AI82" s="137">
        <f t="shared" si="152"/>
        <v>0.4844811215020553</v>
      </c>
      <c r="AJ82" s="155">
        <f t="shared" si="153"/>
        <v>0.88087476636737316</v>
      </c>
      <c r="AK82" s="132" t="s">
        <v>60</v>
      </c>
      <c r="AL82" s="23">
        <v>86</v>
      </c>
      <c r="AM82" s="23">
        <f t="shared" si="154"/>
        <v>76.34897506671517</v>
      </c>
      <c r="AN82" s="155">
        <f t="shared" si="155"/>
        <v>0.88777877984552522</v>
      </c>
      <c r="AO82" s="62">
        <v>975611.52</v>
      </c>
      <c r="AP82" s="62">
        <v>699944.88046400005</v>
      </c>
      <c r="AQ82" s="155">
        <f t="shared" si="156"/>
        <v>0.71744220534009273</v>
      </c>
      <c r="AR82" s="156">
        <v>3.4999999999999976E-2</v>
      </c>
      <c r="AS82" s="156">
        <f t="shared" si="157"/>
        <v>3.5000000059661786E-2</v>
      </c>
      <c r="AT82" s="155">
        <f t="shared" si="141"/>
        <v>1.0000000017046231</v>
      </c>
      <c r="AU82" s="157">
        <v>34146.403199999942</v>
      </c>
      <c r="AV82" s="157">
        <f t="shared" si="158"/>
        <v>24498.070857999963</v>
      </c>
      <c r="AW82" s="155">
        <f t="shared" si="142"/>
        <v>0.71744220656306212</v>
      </c>
      <c r="AX82" s="62">
        <v>1009757.9232</v>
      </c>
      <c r="AY82" s="62">
        <v>724442.95132200001</v>
      </c>
      <c r="AZ82" s="155">
        <f t="shared" si="159"/>
        <v>0.71744220538144921</v>
      </c>
    </row>
    <row r="83" spans="1:52" ht="108" x14ac:dyDescent="0.25">
      <c r="B83" s="150" t="s">
        <v>105</v>
      </c>
      <c r="C83" s="22" t="s">
        <v>52</v>
      </c>
      <c r="D83" s="151">
        <v>44562</v>
      </c>
      <c r="E83" s="151">
        <v>44592</v>
      </c>
      <c r="F83" s="152" t="s">
        <v>72</v>
      </c>
      <c r="G83" s="141" t="s">
        <v>192</v>
      </c>
      <c r="H83" s="22" t="s">
        <v>199</v>
      </c>
      <c r="I83" s="60" t="s">
        <v>193</v>
      </c>
      <c r="J83" s="11" t="s">
        <v>194</v>
      </c>
      <c r="K83" s="153" t="s">
        <v>195</v>
      </c>
      <c r="L83" s="154">
        <v>6380000</v>
      </c>
      <c r="M83" s="137">
        <v>0.6</v>
      </c>
      <c r="N83" s="137">
        <f t="shared" si="140"/>
        <v>0.94527100313479628</v>
      </c>
      <c r="O83" s="155">
        <f t="shared" si="143"/>
        <v>1.5754516718913272</v>
      </c>
      <c r="P83" s="62">
        <v>3828000</v>
      </c>
      <c r="Q83" s="62">
        <v>6030829</v>
      </c>
      <c r="R83" s="155">
        <f t="shared" si="144"/>
        <v>1.575451671891327</v>
      </c>
      <c r="S83" s="60">
        <v>3.12</v>
      </c>
      <c r="T83" s="127">
        <f t="shared" si="145"/>
        <v>1.8694735002434988</v>
      </c>
      <c r="U83" s="155">
        <f t="shared" si="146"/>
        <v>0.59919022443701886</v>
      </c>
      <c r="V83" s="62">
        <v>11943360</v>
      </c>
      <c r="W83" s="62">
        <v>11274475</v>
      </c>
      <c r="X83" s="155">
        <f t="shared" si="147"/>
        <v>0.94399524087024089</v>
      </c>
      <c r="Y83" s="62">
        <v>59716.800000000003</v>
      </c>
      <c r="Z83" s="62">
        <v>31837</v>
      </c>
      <c r="AA83" s="155">
        <f t="shared" si="148"/>
        <v>0.53313305468477878</v>
      </c>
      <c r="AB83" s="149">
        <v>5.0000000000000001E-3</v>
      </c>
      <c r="AC83" s="149">
        <f t="shared" si="149"/>
        <v>2.8238121952463419E-3</v>
      </c>
      <c r="AD83" s="155">
        <f t="shared" si="150"/>
        <v>0.56476243904926837</v>
      </c>
      <c r="AE83" s="62">
        <v>6568848.0000000009</v>
      </c>
      <c r="AF83" s="62">
        <v>9919194</v>
      </c>
      <c r="AG83" s="155">
        <f t="shared" si="151"/>
        <v>1.5100355496123519</v>
      </c>
      <c r="AH83" s="137">
        <v>0.55000000000000004</v>
      </c>
      <c r="AI83" s="137">
        <f t="shared" si="152"/>
        <v>0.87979209674951608</v>
      </c>
      <c r="AJ83" s="155">
        <f t="shared" si="153"/>
        <v>1.5996219940900291</v>
      </c>
      <c r="AK83" s="132" t="s">
        <v>60</v>
      </c>
      <c r="AL83" s="23">
        <v>86</v>
      </c>
      <c r="AM83" s="23">
        <f t="shared" si="154"/>
        <v>69.257955790313957</v>
      </c>
      <c r="AN83" s="155">
        <f t="shared" si="155"/>
        <v>0.80532506732923204</v>
      </c>
      <c r="AO83" s="62">
        <v>1027128.96</v>
      </c>
      <c r="AP83" s="62">
        <v>780847.09110900003</v>
      </c>
      <c r="AQ83" s="155">
        <f t="shared" si="156"/>
        <v>0.76022303091230148</v>
      </c>
      <c r="AR83" s="156">
        <v>3.4999999999999976E-2</v>
      </c>
      <c r="AS83" s="156">
        <f t="shared" si="157"/>
        <v>3.4999999562250951E-2</v>
      </c>
      <c r="AT83" s="155">
        <f t="shared" si="141"/>
        <v>0.99999998749288499</v>
      </c>
      <c r="AU83" s="157">
        <v>35949.513599999947</v>
      </c>
      <c r="AV83" s="157">
        <f t="shared" si="158"/>
        <v>27329.647846999927</v>
      </c>
      <c r="AW83" s="155">
        <f t="shared" si="142"/>
        <v>0.76022302140410514</v>
      </c>
      <c r="AX83" s="62">
        <v>1063078.4735999999</v>
      </c>
      <c r="AY83" s="62">
        <v>808176.73895599996</v>
      </c>
      <c r="AZ83" s="155">
        <f t="shared" si="159"/>
        <v>0.76022303059076823</v>
      </c>
    </row>
    <row r="84" spans="1:52" ht="108" x14ac:dyDescent="0.25">
      <c r="B84" s="150" t="s">
        <v>105</v>
      </c>
      <c r="C84" s="22" t="s">
        <v>52</v>
      </c>
      <c r="D84" s="151">
        <v>44562</v>
      </c>
      <c r="E84" s="151">
        <v>44592</v>
      </c>
      <c r="F84" s="152" t="s">
        <v>72</v>
      </c>
      <c r="G84" s="141" t="s">
        <v>192</v>
      </c>
      <c r="H84" s="22" t="s">
        <v>200</v>
      </c>
      <c r="I84" s="60" t="s">
        <v>193</v>
      </c>
      <c r="J84" s="11" t="s">
        <v>194</v>
      </c>
      <c r="K84" s="153" t="s">
        <v>195</v>
      </c>
      <c r="L84" s="154">
        <v>6270000</v>
      </c>
      <c r="M84" s="137">
        <v>0.6</v>
      </c>
      <c r="N84" s="137">
        <f t="shared" si="140"/>
        <v>1.0570519936204146</v>
      </c>
      <c r="O84" s="155">
        <f t="shared" si="143"/>
        <v>1.761753322700691</v>
      </c>
      <c r="P84" s="62">
        <v>3762000</v>
      </c>
      <c r="Q84" s="62">
        <v>6627716</v>
      </c>
      <c r="R84" s="155">
        <f t="shared" si="144"/>
        <v>1.7617533227006912</v>
      </c>
      <c r="S84" s="60">
        <v>3.12</v>
      </c>
      <c r="T84" s="127">
        <f t="shared" si="145"/>
        <v>1.8646913959499773</v>
      </c>
      <c r="U84" s="155">
        <f t="shared" si="146"/>
        <v>0.59765749870191576</v>
      </c>
      <c r="V84" s="62">
        <v>11737440</v>
      </c>
      <c r="W84" s="62">
        <v>12358645</v>
      </c>
      <c r="X84" s="155">
        <f t="shared" si="147"/>
        <v>1.0529250841750841</v>
      </c>
      <c r="Y84" s="62">
        <v>58687.200000000004</v>
      </c>
      <c r="Z84" s="62">
        <v>52652</v>
      </c>
      <c r="AA84" s="155">
        <f t="shared" si="148"/>
        <v>0.89716326558431814</v>
      </c>
      <c r="AB84" s="149">
        <v>5.0000000000000001E-3</v>
      </c>
      <c r="AC84" s="149">
        <f t="shared" si="149"/>
        <v>4.2603376017354656E-3</v>
      </c>
      <c r="AD84" s="155">
        <f t="shared" si="150"/>
        <v>0.8520675203470931</v>
      </c>
      <c r="AE84" s="62">
        <v>6455592.0000000009</v>
      </c>
      <c r="AF84" s="62">
        <v>6256313</v>
      </c>
      <c r="AG84" s="155">
        <f t="shared" si="151"/>
        <v>0.96913079389155932</v>
      </c>
      <c r="AH84" s="137">
        <v>0.55000000000000004</v>
      </c>
      <c r="AI84" s="137">
        <f t="shared" si="152"/>
        <v>0.50622968780153488</v>
      </c>
      <c r="AJ84" s="155">
        <f t="shared" si="153"/>
        <v>0.92041761418460877</v>
      </c>
      <c r="AK84" s="132" t="s">
        <v>60</v>
      </c>
      <c r="AL84" s="23">
        <v>86</v>
      </c>
      <c r="AM84" s="23">
        <f t="shared" si="154"/>
        <v>75.667095744476839</v>
      </c>
      <c r="AN84" s="155">
        <f t="shared" si="155"/>
        <v>0.87984995051717252</v>
      </c>
      <c r="AO84" s="62">
        <v>1009419.84</v>
      </c>
      <c r="AP84" s="62">
        <v>935142.77448699996</v>
      </c>
      <c r="AQ84" s="155">
        <f t="shared" si="156"/>
        <v>0.92641608320973756</v>
      </c>
      <c r="AR84" s="156">
        <v>3.4999999999999976E-2</v>
      </c>
      <c r="AS84" s="156">
        <f t="shared" si="157"/>
        <v>3.4999999996743886E-2</v>
      </c>
      <c r="AT84" s="155">
        <f t="shared" si="141"/>
        <v>0.99999999990696886</v>
      </c>
      <c r="AU84" s="157">
        <v>35329.69439999992</v>
      </c>
      <c r="AV84" s="157">
        <f t="shared" si="158"/>
        <v>32729.997104000067</v>
      </c>
      <c r="AW84" s="155">
        <f t="shared" si="142"/>
        <v>0.9264160831235535</v>
      </c>
      <c r="AX84" s="62">
        <v>1044749.5343999999</v>
      </c>
      <c r="AY84" s="62">
        <v>967872.77159100003</v>
      </c>
      <c r="AZ84" s="155">
        <f t="shared" si="159"/>
        <v>0.92641608320682312</v>
      </c>
    </row>
    <row r="85" spans="1:52" ht="108" x14ac:dyDescent="0.25">
      <c r="B85" s="150" t="s">
        <v>105</v>
      </c>
      <c r="C85" s="22" t="s">
        <v>52</v>
      </c>
      <c r="D85" s="151">
        <v>44562</v>
      </c>
      <c r="E85" s="151">
        <v>44592</v>
      </c>
      <c r="F85" s="152" t="s">
        <v>72</v>
      </c>
      <c r="G85" s="166" t="s">
        <v>201</v>
      </c>
      <c r="H85" s="22" t="s">
        <v>202</v>
      </c>
      <c r="I85" s="60" t="s">
        <v>193</v>
      </c>
      <c r="J85" s="11" t="s">
        <v>194</v>
      </c>
      <c r="K85" s="153" t="s">
        <v>195</v>
      </c>
      <c r="L85" s="154">
        <v>4700000</v>
      </c>
      <c r="M85" s="137">
        <v>0.5</v>
      </c>
      <c r="N85" s="137">
        <f t="shared" si="140"/>
        <v>1.2833463829787235</v>
      </c>
      <c r="O85" s="155">
        <f>N85/M85</f>
        <v>2.566692765957447</v>
      </c>
      <c r="P85" s="62">
        <v>2350000</v>
      </c>
      <c r="Q85" s="62">
        <v>6031728</v>
      </c>
      <c r="R85" s="155">
        <f>Q85/P85</f>
        <v>2.566692765957447</v>
      </c>
      <c r="S85" s="60">
        <v>3.12</v>
      </c>
      <c r="T85" s="127">
        <f>W85/Q85</f>
        <v>1.874103905215885</v>
      </c>
      <c r="U85" s="155">
        <f>T85/S85</f>
        <v>0.60067432859483494</v>
      </c>
      <c r="V85" s="62">
        <v>7332000</v>
      </c>
      <c r="W85" s="62">
        <v>11304085</v>
      </c>
      <c r="X85" s="155">
        <f>W85/V85</f>
        <v>1.5417464539007093</v>
      </c>
      <c r="Y85" s="62">
        <v>36660</v>
      </c>
      <c r="Z85" s="62">
        <v>57280</v>
      </c>
      <c r="AA85" s="155">
        <f>Z85/Y85</f>
        <v>1.5624659028914347</v>
      </c>
      <c r="AB85" s="149">
        <v>5.0000000000000001E-3</v>
      </c>
      <c r="AC85" s="149">
        <f>Z85/W85</f>
        <v>5.06719473535452E-3</v>
      </c>
      <c r="AD85" s="155">
        <f>AC85/AB85</f>
        <v>1.013438947070904</v>
      </c>
      <c r="AE85" s="62">
        <v>4032600.0000000005</v>
      </c>
      <c r="AF85" s="62">
        <v>6366765</v>
      </c>
      <c r="AG85" s="155">
        <f>AF85/AE85</f>
        <v>1.5788238357387292</v>
      </c>
      <c r="AH85" s="137">
        <v>0.55000000000000004</v>
      </c>
      <c r="AI85" s="137">
        <f>AF85/W85</f>
        <v>0.56322692194901225</v>
      </c>
      <c r="AJ85" s="155">
        <f>AI85/AH85</f>
        <v>1.0240489489982041</v>
      </c>
      <c r="AK85" s="132" t="s">
        <v>60</v>
      </c>
      <c r="AL85" s="23">
        <v>90</v>
      </c>
      <c r="AM85" s="23">
        <f>AP85/W85*1000</f>
        <v>74.461239020761084</v>
      </c>
      <c r="AN85" s="155">
        <f>AM85/AL85</f>
        <v>0.8273471002306787</v>
      </c>
      <c r="AO85" s="62">
        <v>659880</v>
      </c>
      <c r="AP85" s="62">
        <v>841716.17509600008</v>
      </c>
      <c r="AQ85" s="155">
        <f>AP85/AO85</f>
        <v>1.2755594579256835</v>
      </c>
      <c r="AR85" s="156">
        <v>3.4999999999999976E-2</v>
      </c>
      <c r="AS85" s="156">
        <f t="shared" si="157"/>
        <v>3.5000000036401725E-2</v>
      </c>
      <c r="AT85" s="155">
        <f t="shared" si="141"/>
        <v>1.00000000104005</v>
      </c>
      <c r="AU85" s="157">
        <v>23095.79999999993</v>
      </c>
      <c r="AV85" s="157">
        <f>AY85-AP85</f>
        <v>29460.066158999922</v>
      </c>
      <c r="AW85" s="155">
        <f t="shared" si="142"/>
        <v>1.2755594592523321</v>
      </c>
      <c r="AX85" s="62">
        <v>682975.79999999993</v>
      </c>
      <c r="AY85" s="62">
        <v>871176.241255</v>
      </c>
      <c r="AZ85" s="155">
        <f>AY85/AX85</f>
        <v>1.275559457970546</v>
      </c>
    </row>
    <row r="86" spans="1:52" ht="108" x14ac:dyDescent="0.25">
      <c r="A86" t="s">
        <v>183</v>
      </c>
      <c r="B86" s="150" t="s">
        <v>105</v>
      </c>
      <c r="C86" s="22" t="s">
        <v>52</v>
      </c>
      <c r="D86" s="151">
        <v>44562</v>
      </c>
      <c r="E86" s="151">
        <v>44592</v>
      </c>
      <c r="F86" s="152" t="s">
        <v>72</v>
      </c>
      <c r="G86" s="166" t="s">
        <v>201</v>
      </c>
      <c r="H86" s="22" t="s">
        <v>203</v>
      </c>
      <c r="I86" s="60" t="s">
        <v>193</v>
      </c>
      <c r="J86" s="11" t="s">
        <v>194</v>
      </c>
      <c r="K86" s="153" t="s">
        <v>195</v>
      </c>
      <c r="L86" s="154">
        <v>8160000</v>
      </c>
      <c r="M86" s="137">
        <v>0.5</v>
      </c>
      <c r="N86" s="137">
        <f t="shared" si="140"/>
        <v>0.88545367647058826</v>
      </c>
      <c r="O86" s="155">
        <f t="shared" ref="O86:O111" si="160">N86/M86</f>
        <v>1.7709073529411765</v>
      </c>
      <c r="P86" s="62">
        <v>4080000</v>
      </c>
      <c r="Q86" s="62">
        <v>7225302</v>
      </c>
      <c r="R86" s="155">
        <f t="shared" ref="R86:R111" si="161">Q86/P86</f>
        <v>1.7709073529411765</v>
      </c>
      <c r="S86" s="60">
        <v>3.12</v>
      </c>
      <c r="T86" s="127">
        <f t="shared" ref="T86:T111" si="162">W86/Q86</f>
        <v>1.7665408310960566</v>
      </c>
      <c r="U86" s="155">
        <f t="shared" ref="U86:U111" si="163">T86/S86</f>
        <v>0.56619898432565918</v>
      </c>
      <c r="V86" s="62">
        <v>12729600</v>
      </c>
      <c r="W86" s="62">
        <v>12763791</v>
      </c>
      <c r="X86" s="155">
        <f t="shared" ref="X86:X111" si="164">W86/V86</f>
        <v>1.0026859445701357</v>
      </c>
      <c r="Y86" s="62">
        <v>63648</v>
      </c>
      <c r="Z86" s="62">
        <v>63187</v>
      </c>
      <c r="AA86" s="155">
        <f t="shared" ref="AA86:AA111" si="165">Z86/Y86</f>
        <v>0.99275703871292109</v>
      </c>
      <c r="AB86" s="149">
        <v>5.0000000000000001E-3</v>
      </c>
      <c r="AC86" s="149">
        <f t="shared" ref="AC86:AC111" si="166">Z86/W86</f>
        <v>4.9504884559767549E-3</v>
      </c>
      <c r="AD86" s="155">
        <f t="shared" ref="AD86:AD111" si="167">AC86/AB86</f>
        <v>0.99009769119535096</v>
      </c>
      <c r="AE86" s="62">
        <v>7001280.0000000009</v>
      </c>
      <c r="AF86" s="62">
        <v>8055683</v>
      </c>
      <c r="AG86" s="155">
        <f t="shared" ref="AG86:AG111" si="168">AF86/AE86</f>
        <v>1.1506014614470494</v>
      </c>
      <c r="AH86" s="137">
        <v>0.55000000000000004</v>
      </c>
      <c r="AI86" s="137">
        <f t="shared" ref="AI86:AI111" si="169">AF86/W86</f>
        <v>0.63113560853511308</v>
      </c>
      <c r="AJ86" s="155">
        <f t="shared" ref="AJ86:AJ111" si="170">AI86/AH86</f>
        <v>1.14751928824566</v>
      </c>
      <c r="AK86" s="132" t="s">
        <v>60</v>
      </c>
      <c r="AL86" s="23">
        <v>90</v>
      </c>
      <c r="AM86" s="23">
        <f t="shared" ref="AM86:AM111" si="171">AP86/W86*1000</f>
        <v>70.501428831528187</v>
      </c>
      <c r="AN86" s="155">
        <f t="shared" ref="AN86:AN111" si="172">AM86/AL86</f>
        <v>0.78334920923920204</v>
      </c>
      <c r="AO86" s="62">
        <v>1145664</v>
      </c>
      <c r="AP86" s="62">
        <v>899865.50280699995</v>
      </c>
      <c r="AQ86" s="155">
        <f t="shared" ref="AQ86:AQ111" si="173">AP86/AO86</f>
        <v>0.78545324179427822</v>
      </c>
      <c r="AR86" s="156">
        <v>3.4999999999999976E-2</v>
      </c>
      <c r="AS86" s="156">
        <f t="shared" si="157"/>
        <v>3.4999999954165445E-2</v>
      </c>
      <c r="AT86" s="155">
        <f t="shared" si="141"/>
        <v>0.99999999869044198</v>
      </c>
      <c r="AU86" s="157">
        <v>40098.239999999991</v>
      </c>
      <c r="AV86" s="157">
        <f t="shared" ref="AV86:AV89" si="174">AY86-AP86</f>
        <v>31495.292557000066</v>
      </c>
      <c r="AW86" s="155">
        <f t="shared" si="142"/>
        <v>0.78545324076568135</v>
      </c>
      <c r="AX86" s="62">
        <v>1185762.24</v>
      </c>
      <c r="AY86" s="62">
        <v>931360.79536400002</v>
      </c>
      <c r="AZ86" s="155">
        <f t="shared" ref="AZ86:AZ111" si="175">AY86/AX86</f>
        <v>0.78545324175949471</v>
      </c>
    </row>
    <row r="87" spans="1:52" ht="108" x14ac:dyDescent="0.25">
      <c r="B87" s="150" t="s">
        <v>105</v>
      </c>
      <c r="C87" s="22" t="s">
        <v>52</v>
      </c>
      <c r="D87" s="151">
        <v>44562</v>
      </c>
      <c r="E87" s="151">
        <v>44592</v>
      </c>
      <c r="F87" s="152" t="s">
        <v>72</v>
      </c>
      <c r="G87" s="166" t="s">
        <v>201</v>
      </c>
      <c r="H87" s="22" t="s">
        <v>204</v>
      </c>
      <c r="I87" s="60" t="s">
        <v>193</v>
      </c>
      <c r="J87" s="11" t="s">
        <v>194</v>
      </c>
      <c r="K87" s="153" t="s">
        <v>195</v>
      </c>
      <c r="L87" s="154">
        <v>1740000</v>
      </c>
      <c r="M87" s="137">
        <v>0.5</v>
      </c>
      <c r="N87" s="137">
        <f t="shared" si="140"/>
        <v>1.5122155172413794</v>
      </c>
      <c r="O87" s="155">
        <f t="shared" si="160"/>
        <v>3.0244310344827587</v>
      </c>
      <c r="P87" s="62">
        <v>870000</v>
      </c>
      <c r="Q87" s="62">
        <v>2631255</v>
      </c>
      <c r="R87" s="155">
        <f t="shared" si="161"/>
        <v>3.0244310344827587</v>
      </c>
      <c r="S87" s="60">
        <v>3.12</v>
      </c>
      <c r="T87" s="127">
        <f t="shared" si="162"/>
        <v>1.2183691812462114</v>
      </c>
      <c r="U87" s="155">
        <f t="shared" si="163"/>
        <v>0.39050294270711905</v>
      </c>
      <c r="V87" s="62">
        <v>2714400</v>
      </c>
      <c r="W87" s="62">
        <v>3205840</v>
      </c>
      <c r="X87" s="155">
        <f t="shared" si="164"/>
        <v>1.1810492189802535</v>
      </c>
      <c r="Y87" s="62">
        <v>13572</v>
      </c>
      <c r="Z87" s="62">
        <v>13344</v>
      </c>
      <c r="AA87" s="155">
        <f t="shared" si="165"/>
        <v>0.9832007073386384</v>
      </c>
      <c r="AB87" s="149">
        <v>5.0000000000000001E-3</v>
      </c>
      <c r="AC87" s="149">
        <f t="shared" si="166"/>
        <v>4.162403613405535E-3</v>
      </c>
      <c r="AD87" s="155">
        <f t="shared" si="167"/>
        <v>0.83248072268110695</v>
      </c>
      <c r="AE87" s="62">
        <v>1492920.0000000002</v>
      </c>
      <c r="AF87" s="62">
        <v>2037358</v>
      </c>
      <c r="AG87" s="155">
        <f t="shared" si="168"/>
        <v>1.3646799560592662</v>
      </c>
      <c r="AH87" s="137">
        <v>0.55000000000000004</v>
      </c>
      <c r="AI87" s="137">
        <f t="shared" si="169"/>
        <v>0.63551456092630954</v>
      </c>
      <c r="AJ87" s="155">
        <f t="shared" si="170"/>
        <v>1.1554810198660173</v>
      </c>
      <c r="AK87" s="132" t="s">
        <v>60</v>
      </c>
      <c r="AL87" s="23">
        <v>90</v>
      </c>
      <c r="AM87" s="23">
        <f t="shared" si="171"/>
        <v>59.225601793913611</v>
      </c>
      <c r="AN87" s="155">
        <f t="shared" si="172"/>
        <v>0.65806224215459563</v>
      </c>
      <c r="AO87" s="62">
        <v>244296</v>
      </c>
      <c r="AP87" s="62">
        <v>189867.80325500001</v>
      </c>
      <c r="AQ87" s="155">
        <f t="shared" si="173"/>
        <v>0.7772038971370796</v>
      </c>
      <c r="AR87" s="156">
        <v>3.4999999999999976E-2</v>
      </c>
      <c r="AS87" s="156">
        <f t="shared" si="157"/>
        <v>3.4999999852923867E-2</v>
      </c>
      <c r="AT87" s="155">
        <f t="shared" si="141"/>
        <v>0.9999999957978255</v>
      </c>
      <c r="AU87" s="157">
        <v>8550.359999999986</v>
      </c>
      <c r="AV87" s="157">
        <f t="shared" si="174"/>
        <v>6645.3730859999778</v>
      </c>
      <c r="AW87" s="155">
        <f t="shared" si="142"/>
        <v>0.77720389387113387</v>
      </c>
      <c r="AX87" s="62">
        <v>252846.36</v>
      </c>
      <c r="AY87" s="62">
        <v>196513.17634099998</v>
      </c>
      <c r="AZ87" s="155">
        <f t="shared" si="175"/>
        <v>0.77720389702663706</v>
      </c>
    </row>
    <row r="88" spans="1:52" ht="108" x14ac:dyDescent="0.25">
      <c r="B88" s="150" t="s">
        <v>105</v>
      </c>
      <c r="C88" s="22" t="s">
        <v>52</v>
      </c>
      <c r="D88" s="151">
        <v>44562</v>
      </c>
      <c r="E88" s="151">
        <v>44592</v>
      </c>
      <c r="F88" s="152" t="s">
        <v>72</v>
      </c>
      <c r="G88" s="166" t="s">
        <v>201</v>
      </c>
      <c r="H88" s="22" t="s">
        <v>205</v>
      </c>
      <c r="I88" s="60" t="s">
        <v>193</v>
      </c>
      <c r="J88" s="11" t="s">
        <v>194</v>
      </c>
      <c r="K88" s="153" t="s">
        <v>195</v>
      </c>
      <c r="L88" s="154">
        <v>1150000</v>
      </c>
      <c r="M88" s="137">
        <v>0.5</v>
      </c>
      <c r="N88" s="137">
        <f t="shared" si="140"/>
        <v>1.4204652173913044</v>
      </c>
      <c r="O88" s="155">
        <f t="shared" si="160"/>
        <v>2.8409304347826088</v>
      </c>
      <c r="P88" s="62">
        <v>575000</v>
      </c>
      <c r="Q88" s="62">
        <v>1633535</v>
      </c>
      <c r="R88" s="155">
        <f t="shared" si="161"/>
        <v>2.8409304347826088</v>
      </c>
      <c r="S88" s="60">
        <v>3.12</v>
      </c>
      <c r="T88" s="127">
        <f t="shared" si="162"/>
        <v>1.6211577958231689</v>
      </c>
      <c r="U88" s="155">
        <f t="shared" si="163"/>
        <v>0.51960185763563105</v>
      </c>
      <c r="V88" s="62">
        <v>1794000</v>
      </c>
      <c r="W88" s="62">
        <v>2648218</v>
      </c>
      <c r="X88" s="155">
        <f t="shared" si="164"/>
        <v>1.4761527313266443</v>
      </c>
      <c r="Y88" s="62">
        <v>8970</v>
      </c>
      <c r="Z88" s="62">
        <v>9915</v>
      </c>
      <c r="AA88" s="155">
        <f t="shared" si="165"/>
        <v>1.1053511705685619</v>
      </c>
      <c r="AB88" s="149">
        <v>5.0000000000000001E-3</v>
      </c>
      <c r="AC88" s="149">
        <f t="shared" si="166"/>
        <v>3.7440271155924475E-3</v>
      </c>
      <c r="AD88" s="155">
        <f t="shared" si="167"/>
        <v>0.74880542311848952</v>
      </c>
      <c r="AE88" s="62">
        <v>986700.00000000012</v>
      </c>
      <c r="AF88" s="62">
        <v>2401171</v>
      </c>
      <c r="AG88" s="155">
        <f t="shared" si="168"/>
        <v>2.4335370426674769</v>
      </c>
      <c r="AH88" s="137">
        <v>0.55000000000000004</v>
      </c>
      <c r="AI88" s="137">
        <f t="shared" si="169"/>
        <v>0.90671198519155149</v>
      </c>
      <c r="AJ88" s="155">
        <f t="shared" si="170"/>
        <v>1.6485672458028207</v>
      </c>
      <c r="AK88" s="132" t="s">
        <v>60</v>
      </c>
      <c r="AL88" s="23">
        <v>90</v>
      </c>
      <c r="AM88" s="23">
        <f t="shared" si="171"/>
        <v>47.252866272338608</v>
      </c>
      <c r="AN88" s="155">
        <f t="shared" si="172"/>
        <v>0.52503184747042897</v>
      </c>
      <c r="AO88" s="62">
        <v>161460</v>
      </c>
      <c r="AP88" s="62">
        <v>125135.89101400001</v>
      </c>
      <c r="AQ88" s="155">
        <f t="shared" si="173"/>
        <v>0.77502719567694789</v>
      </c>
      <c r="AR88" s="156">
        <v>3.4999999999999976E-2</v>
      </c>
      <c r="AS88" s="156">
        <f t="shared" si="157"/>
        <v>3.4999997494803418E-2</v>
      </c>
      <c r="AT88" s="155">
        <f t="shared" si="141"/>
        <v>0.99999992842295549</v>
      </c>
      <c r="AU88" s="157">
        <v>5651.0999999999767</v>
      </c>
      <c r="AV88" s="157">
        <f t="shared" si="174"/>
        <v>4379.7558719999943</v>
      </c>
      <c r="AW88" s="155">
        <f t="shared" si="142"/>
        <v>0.77502714020279451</v>
      </c>
      <c r="AX88" s="62">
        <v>167111.09999999998</v>
      </c>
      <c r="AY88" s="62">
        <v>129515.646886</v>
      </c>
      <c r="AZ88" s="155">
        <f t="shared" si="175"/>
        <v>0.77502719380101037</v>
      </c>
    </row>
    <row r="89" spans="1:52" ht="108" x14ac:dyDescent="0.25">
      <c r="B89" s="150" t="s">
        <v>105</v>
      </c>
      <c r="C89" s="22" t="s">
        <v>52</v>
      </c>
      <c r="D89" s="151">
        <v>44562</v>
      </c>
      <c r="E89" s="151">
        <v>44592</v>
      </c>
      <c r="F89" s="152" t="s">
        <v>72</v>
      </c>
      <c r="G89" s="166" t="s">
        <v>201</v>
      </c>
      <c r="H89" s="22" t="s">
        <v>206</v>
      </c>
      <c r="I89" s="60" t="s">
        <v>193</v>
      </c>
      <c r="J89" s="11" t="s">
        <v>194</v>
      </c>
      <c r="K89" s="153" t="s">
        <v>195</v>
      </c>
      <c r="L89" s="154">
        <v>1720000</v>
      </c>
      <c r="M89" s="137">
        <v>0.5</v>
      </c>
      <c r="N89" s="137">
        <f t="shared" si="140"/>
        <v>1.0343313953488371</v>
      </c>
      <c r="O89" s="155">
        <f t="shared" si="160"/>
        <v>2.0686627906976742</v>
      </c>
      <c r="P89" s="62">
        <v>860000</v>
      </c>
      <c r="Q89" s="62">
        <v>1779050</v>
      </c>
      <c r="R89" s="155">
        <f t="shared" si="161"/>
        <v>2.0686627906976742</v>
      </c>
      <c r="S89" s="60">
        <v>3.12</v>
      </c>
      <c r="T89" s="127">
        <f t="shared" si="162"/>
        <v>1.7054326747421376</v>
      </c>
      <c r="U89" s="155">
        <f t="shared" si="163"/>
        <v>0.54661303677632611</v>
      </c>
      <c r="V89" s="62">
        <v>2683200</v>
      </c>
      <c r="W89" s="62">
        <v>3034050</v>
      </c>
      <c r="X89" s="155">
        <f t="shared" si="164"/>
        <v>1.1307580500894454</v>
      </c>
      <c r="Y89" s="62">
        <v>13416</v>
      </c>
      <c r="Z89" s="62">
        <v>14384</v>
      </c>
      <c r="AA89" s="155">
        <f t="shared" si="165"/>
        <v>1.0721526535480024</v>
      </c>
      <c r="AB89" s="149">
        <v>5.0000000000000001E-3</v>
      </c>
      <c r="AC89" s="149">
        <f t="shared" si="166"/>
        <v>4.740857929170581E-3</v>
      </c>
      <c r="AD89" s="155">
        <f t="shared" si="167"/>
        <v>0.9481715858341162</v>
      </c>
      <c r="AE89" s="62">
        <v>1475760.0000000002</v>
      </c>
      <c r="AF89" s="62">
        <v>2094549</v>
      </c>
      <c r="AG89" s="155">
        <f t="shared" si="168"/>
        <v>1.419301919011221</v>
      </c>
      <c r="AH89" s="137">
        <v>0.55000000000000004</v>
      </c>
      <c r="AI89" s="137">
        <f t="shared" si="169"/>
        <v>0.6903475552479359</v>
      </c>
      <c r="AJ89" s="155">
        <f t="shared" si="170"/>
        <v>1.2551773731780651</v>
      </c>
      <c r="AK89" s="132" t="s">
        <v>60</v>
      </c>
      <c r="AL89" s="23">
        <v>90</v>
      </c>
      <c r="AM89" s="23">
        <f t="shared" si="171"/>
        <v>62.354700537235715</v>
      </c>
      <c r="AN89" s="155">
        <f t="shared" si="172"/>
        <v>0.69283000596928568</v>
      </c>
      <c r="AO89" s="62">
        <v>241488</v>
      </c>
      <c r="AP89" s="62">
        <v>189187.27916500001</v>
      </c>
      <c r="AQ89" s="155">
        <f t="shared" si="173"/>
        <v>0.78342310659328829</v>
      </c>
      <c r="AR89" s="156">
        <v>3.4999999999999976E-2</v>
      </c>
      <c r="AS89" s="156">
        <f t="shared" si="157"/>
        <v>3.4999999974760387E-2</v>
      </c>
      <c r="AT89" s="155">
        <f t="shared" si="141"/>
        <v>0.99999999927886896</v>
      </c>
      <c r="AU89" s="157">
        <v>8452.0799999999872</v>
      </c>
      <c r="AV89" s="157">
        <f t="shared" si="174"/>
        <v>6621.5547659999866</v>
      </c>
      <c r="AW89" s="155">
        <f t="shared" si="142"/>
        <v>0.7834231060283382</v>
      </c>
      <c r="AX89" s="62">
        <v>249940.08</v>
      </c>
      <c r="AY89" s="62">
        <v>195808.833931</v>
      </c>
      <c r="AZ89" s="155">
        <f t="shared" si="175"/>
        <v>0.78342310657418379</v>
      </c>
    </row>
    <row r="90" spans="1:52" ht="108" x14ac:dyDescent="0.25">
      <c r="B90" s="150" t="s">
        <v>105</v>
      </c>
      <c r="C90" s="22" t="s">
        <v>52</v>
      </c>
      <c r="D90" s="151">
        <v>44562</v>
      </c>
      <c r="E90" s="151">
        <v>44592</v>
      </c>
      <c r="F90" s="152" t="s">
        <v>72</v>
      </c>
      <c r="G90" s="167" t="s">
        <v>207</v>
      </c>
      <c r="H90" s="168" t="s">
        <v>208</v>
      </c>
      <c r="I90" s="60" t="s">
        <v>193</v>
      </c>
      <c r="J90" s="11" t="s">
        <v>194</v>
      </c>
      <c r="K90" s="153" t="s">
        <v>195</v>
      </c>
      <c r="L90" s="169">
        <v>7900000</v>
      </c>
      <c r="M90" s="137">
        <v>0.7</v>
      </c>
      <c r="N90" s="137">
        <f t="shared" si="140"/>
        <v>0.70045632911392408</v>
      </c>
      <c r="O90" s="155">
        <f t="shared" si="160"/>
        <v>1.0006518987341773</v>
      </c>
      <c r="P90" s="62">
        <v>5530000</v>
      </c>
      <c r="Q90" s="62">
        <v>5533605</v>
      </c>
      <c r="R90" s="155">
        <f t="shared" si="161"/>
        <v>1.0006518987341773</v>
      </c>
      <c r="S90" s="60">
        <v>2</v>
      </c>
      <c r="T90" s="127">
        <f t="shared" si="162"/>
        <v>1.9062410490087385</v>
      </c>
      <c r="U90" s="155">
        <f t="shared" si="163"/>
        <v>0.95312052450436924</v>
      </c>
      <c r="V90" s="62">
        <v>11060000</v>
      </c>
      <c r="W90" s="62">
        <v>10548385</v>
      </c>
      <c r="X90" s="155">
        <f t="shared" si="164"/>
        <v>0.9537418625678119</v>
      </c>
      <c r="Y90" s="62" t="s">
        <v>59</v>
      </c>
      <c r="Z90" s="62" t="s">
        <v>59</v>
      </c>
      <c r="AA90" s="155" t="s">
        <v>59</v>
      </c>
      <c r="AB90" s="149" t="s">
        <v>59</v>
      </c>
      <c r="AC90" s="149" t="s">
        <v>59</v>
      </c>
      <c r="AD90" s="155" t="s">
        <v>59</v>
      </c>
      <c r="AE90" s="62">
        <v>8295000</v>
      </c>
      <c r="AF90" s="62">
        <v>6144250</v>
      </c>
      <c r="AG90" s="155">
        <f t="shared" si="168"/>
        <v>0.7407172995780591</v>
      </c>
      <c r="AH90" s="137">
        <v>0.75</v>
      </c>
      <c r="AI90" s="137">
        <f t="shared" si="169"/>
        <v>0.58248253168613018</v>
      </c>
      <c r="AJ90" s="155">
        <f t="shared" si="170"/>
        <v>0.77664337558150687</v>
      </c>
      <c r="AK90" s="132" t="s">
        <v>167</v>
      </c>
      <c r="AL90" s="23">
        <v>90</v>
      </c>
      <c r="AM90" s="23">
        <f t="shared" si="171"/>
        <v>74.321959398239628</v>
      </c>
      <c r="AN90" s="155">
        <f t="shared" si="172"/>
        <v>0.82579954886932916</v>
      </c>
      <c r="AO90" s="62">
        <v>995400</v>
      </c>
      <c r="AP90" s="62">
        <v>783976.64168699994</v>
      </c>
      <c r="AQ90" s="155">
        <f t="shared" si="173"/>
        <v>0.78759959984629291</v>
      </c>
      <c r="AR90" s="156">
        <v>3.4999999999999976E-2</v>
      </c>
      <c r="AS90" s="156">
        <f t="shared" si="157"/>
        <v>3.4999999980809424E-2</v>
      </c>
      <c r="AT90" s="155">
        <f t="shared" si="141"/>
        <v>0.99999999945169848</v>
      </c>
      <c r="AU90" s="157">
        <v>34838.999999999884</v>
      </c>
      <c r="AV90" s="157">
        <f>AY90-AP90</f>
        <v>27439.182444000035</v>
      </c>
      <c r="AW90" s="155">
        <f t="shared" si="142"/>
        <v>0.7875995994144529</v>
      </c>
      <c r="AX90" s="62">
        <v>1030238.9999999999</v>
      </c>
      <c r="AY90" s="62">
        <v>811415.82413099997</v>
      </c>
      <c r="AZ90" s="155">
        <f t="shared" si="175"/>
        <v>0.78759959983168959</v>
      </c>
    </row>
    <row r="91" spans="1:52" ht="108" x14ac:dyDescent="0.25">
      <c r="B91" s="150" t="s">
        <v>105</v>
      </c>
      <c r="C91" s="22" t="s">
        <v>52</v>
      </c>
      <c r="D91" s="170">
        <v>44562</v>
      </c>
      <c r="E91" s="170">
        <v>44592</v>
      </c>
      <c r="F91" s="152" t="s">
        <v>72</v>
      </c>
      <c r="G91" s="167" t="s">
        <v>207</v>
      </c>
      <c r="H91" s="168" t="s">
        <v>209</v>
      </c>
      <c r="I91" s="60" t="s">
        <v>193</v>
      </c>
      <c r="J91" s="11" t="s">
        <v>194</v>
      </c>
      <c r="K91" s="153" t="s">
        <v>195</v>
      </c>
      <c r="L91" s="169">
        <v>680000</v>
      </c>
      <c r="M91" s="137">
        <v>0.7</v>
      </c>
      <c r="N91" s="137">
        <f t="shared" si="140"/>
        <v>0.65509705882352942</v>
      </c>
      <c r="O91" s="155">
        <f t="shared" si="160"/>
        <v>0.93585294117647067</v>
      </c>
      <c r="P91" s="62">
        <v>475999.99999999994</v>
      </c>
      <c r="Q91" s="62">
        <v>445466</v>
      </c>
      <c r="R91" s="155">
        <f t="shared" si="161"/>
        <v>0.93585294117647067</v>
      </c>
      <c r="S91" s="60">
        <v>2</v>
      </c>
      <c r="T91" s="127">
        <f t="shared" si="162"/>
        <v>1.7916676020167646</v>
      </c>
      <c r="U91" s="155">
        <f t="shared" si="163"/>
        <v>0.89583380100838228</v>
      </c>
      <c r="V91" s="62">
        <v>951999.99999999988</v>
      </c>
      <c r="W91" s="62">
        <v>798127</v>
      </c>
      <c r="X91" s="155">
        <f t="shared" si="164"/>
        <v>0.83836869747899168</v>
      </c>
      <c r="Y91" s="62" t="s">
        <v>59</v>
      </c>
      <c r="Z91" s="62" t="s">
        <v>59</v>
      </c>
      <c r="AA91" s="155" t="s">
        <v>59</v>
      </c>
      <c r="AB91" s="149" t="s">
        <v>59</v>
      </c>
      <c r="AC91" s="149" t="s">
        <v>59</v>
      </c>
      <c r="AD91" s="155" t="s">
        <v>59</v>
      </c>
      <c r="AE91" s="62">
        <v>713999.99999999988</v>
      </c>
      <c r="AF91" s="62">
        <v>404275</v>
      </c>
      <c r="AG91" s="155">
        <f t="shared" si="168"/>
        <v>0.56621148459383763</v>
      </c>
      <c r="AH91" s="137">
        <v>0.75</v>
      </c>
      <c r="AI91" s="137">
        <f t="shared" si="169"/>
        <v>0.50652966257249787</v>
      </c>
      <c r="AJ91" s="155">
        <f t="shared" si="170"/>
        <v>0.67537288342999713</v>
      </c>
      <c r="AK91" s="132" t="s">
        <v>167</v>
      </c>
      <c r="AL91" s="23">
        <v>90</v>
      </c>
      <c r="AM91" s="23">
        <f t="shared" si="171"/>
        <v>76.146990515293936</v>
      </c>
      <c r="AN91" s="155">
        <f t="shared" si="172"/>
        <v>0.84607767239215481</v>
      </c>
      <c r="AO91" s="62">
        <v>85679.999999999985</v>
      </c>
      <c r="AP91" s="62">
        <v>60774.969099000002</v>
      </c>
      <c r="AQ91" s="155">
        <f t="shared" si="173"/>
        <v>0.70932503616946796</v>
      </c>
      <c r="AR91" s="156">
        <v>3.4999999999999976E-2</v>
      </c>
      <c r="AS91" s="156">
        <f t="shared" si="157"/>
        <v>3.4999999959440482E-2</v>
      </c>
      <c r="AT91" s="155">
        <f t="shared" si="141"/>
        <v>0.99999999884115731</v>
      </c>
      <c r="AU91" s="157">
        <v>2998.7999999999884</v>
      </c>
      <c r="AV91" s="157">
        <f t="shared" ref="AV91:AV92" si="176">AY91-AP91</f>
        <v>2127.1239159999968</v>
      </c>
      <c r="AW91" s="155">
        <f t="shared" si="142"/>
        <v>0.70932503534747404</v>
      </c>
      <c r="AX91" s="62">
        <v>88678.799999999974</v>
      </c>
      <c r="AY91" s="62">
        <v>62902.093014999999</v>
      </c>
      <c r="AZ91" s="155">
        <f t="shared" si="175"/>
        <v>0.70932503614167108</v>
      </c>
    </row>
    <row r="92" spans="1:52" ht="108" x14ac:dyDescent="0.25">
      <c r="B92" s="150" t="s">
        <v>105</v>
      </c>
      <c r="C92" s="22" t="s">
        <v>52</v>
      </c>
      <c r="D92" s="170">
        <v>44562</v>
      </c>
      <c r="E92" s="170">
        <v>44592</v>
      </c>
      <c r="F92" s="152" t="s">
        <v>72</v>
      </c>
      <c r="G92" s="167" t="s">
        <v>192</v>
      </c>
      <c r="H92" s="168" t="s">
        <v>210</v>
      </c>
      <c r="I92" s="60" t="s">
        <v>193</v>
      </c>
      <c r="J92" s="11" t="s">
        <v>194</v>
      </c>
      <c r="K92" s="153" t="s">
        <v>195</v>
      </c>
      <c r="L92" s="169">
        <v>9927000</v>
      </c>
      <c r="M92" s="137">
        <v>0.6</v>
      </c>
      <c r="N92" s="137">
        <f t="shared" si="140"/>
        <v>1.0340138007454418</v>
      </c>
      <c r="O92" s="155">
        <f t="shared" si="160"/>
        <v>1.7233563345757363</v>
      </c>
      <c r="P92" s="62">
        <v>5956200</v>
      </c>
      <c r="Q92" s="62">
        <v>10264655</v>
      </c>
      <c r="R92" s="155">
        <f t="shared" si="161"/>
        <v>1.7233563345757361</v>
      </c>
      <c r="S92" s="60">
        <v>3.12</v>
      </c>
      <c r="T92" s="127">
        <f t="shared" si="162"/>
        <v>2.1816715710367274</v>
      </c>
      <c r="U92" s="155">
        <f t="shared" si="163"/>
        <v>0.69925370866561776</v>
      </c>
      <c r="V92" s="62">
        <v>18583344</v>
      </c>
      <c r="W92" s="62">
        <v>22394106</v>
      </c>
      <c r="X92" s="155">
        <f t="shared" si="164"/>
        <v>1.2050633083044688</v>
      </c>
      <c r="Y92" s="62">
        <v>92916.72</v>
      </c>
      <c r="Z92" s="62">
        <v>101083</v>
      </c>
      <c r="AA92" s="155">
        <f t="shared" si="165"/>
        <v>1.0878881647996184</v>
      </c>
      <c r="AB92" s="149">
        <v>5.0000000000000001E-3</v>
      </c>
      <c r="AC92" s="149">
        <f t="shared" si="166"/>
        <v>4.5138216278872668E-3</v>
      </c>
      <c r="AD92" s="155">
        <f t="shared" si="167"/>
        <v>0.90276432557745334</v>
      </c>
      <c r="AE92" s="62">
        <v>9291672</v>
      </c>
      <c r="AF92" s="62">
        <v>11809536</v>
      </c>
      <c r="AG92" s="155">
        <f t="shared" si="168"/>
        <v>1.270980723383262</v>
      </c>
      <c r="AH92" s="137">
        <v>0.5</v>
      </c>
      <c r="AI92" s="137">
        <f t="shared" si="169"/>
        <v>0.52735018758953811</v>
      </c>
      <c r="AJ92" s="155">
        <f t="shared" si="170"/>
        <v>1.0547003751790762</v>
      </c>
      <c r="AK92" s="132" t="s">
        <v>167</v>
      </c>
      <c r="AL92" s="23">
        <v>86</v>
      </c>
      <c r="AM92" s="23">
        <f t="shared" si="171"/>
        <v>71.164282182910085</v>
      </c>
      <c r="AN92" s="155">
        <f t="shared" si="172"/>
        <v>0.82749165328965213</v>
      </c>
      <c r="AO92" s="62">
        <v>1598167.584</v>
      </c>
      <c r="AP92" s="62">
        <v>1593660.4786179999</v>
      </c>
      <c r="AQ92" s="155">
        <f t="shared" si="173"/>
        <v>0.99717982930756277</v>
      </c>
      <c r="AR92" s="156">
        <v>3.4999999999999976E-2</v>
      </c>
      <c r="AS92" s="156">
        <f t="shared" si="157"/>
        <v>3.4999999999604715E-2</v>
      </c>
      <c r="AT92" s="155">
        <f t="shared" si="141"/>
        <v>0.99999999998870681</v>
      </c>
      <c r="AU92" s="157">
        <v>55935.865439999849</v>
      </c>
      <c r="AV92" s="157">
        <f t="shared" si="176"/>
        <v>55778.116751000052</v>
      </c>
      <c r="AW92" s="155">
        <f t="shared" si="142"/>
        <v>0.99717982929630355</v>
      </c>
      <c r="AX92" s="62">
        <v>1654103.4494399999</v>
      </c>
      <c r="AY92" s="62">
        <v>1649438.595369</v>
      </c>
      <c r="AZ92" s="155">
        <f t="shared" si="175"/>
        <v>0.99717982930718196</v>
      </c>
    </row>
    <row r="93" spans="1:52" x14ac:dyDescent="0.25">
      <c r="B93" s="150" t="s">
        <v>211</v>
      </c>
      <c r="C93" s="22" t="s">
        <v>52</v>
      </c>
      <c r="D93" s="170">
        <v>44562</v>
      </c>
      <c r="E93" s="170">
        <v>44592</v>
      </c>
      <c r="F93" s="57" t="s">
        <v>111</v>
      </c>
      <c r="G93" s="171" t="s">
        <v>212</v>
      </c>
      <c r="H93" s="168" t="s">
        <v>213</v>
      </c>
      <c r="I93" s="19" t="s">
        <v>214</v>
      </c>
      <c r="J93" s="19" t="s">
        <v>215</v>
      </c>
      <c r="K93" s="19" t="s">
        <v>211</v>
      </c>
      <c r="L93" s="169">
        <v>320000</v>
      </c>
      <c r="M93" s="137">
        <v>0.7</v>
      </c>
      <c r="N93" s="137">
        <f t="shared" si="140"/>
        <v>0.362759375</v>
      </c>
      <c r="O93" s="155">
        <f t="shared" si="160"/>
        <v>0.5182276785714286</v>
      </c>
      <c r="P93" s="62">
        <v>224000</v>
      </c>
      <c r="Q93" s="62">
        <v>116083</v>
      </c>
      <c r="R93" s="155">
        <f t="shared" si="161"/>
        <v>0.5182276785714286</v>
      </c>
      <c r="S93" s="60">
        <v>7</v>
      </c>
      <c r="T93" s="60">
        <f t="shared" si="162"/>
        <v>11.129579697285562</v>
      </c>
      <c r="U93" s="155">
        <f t="shared" si="163"/>
        <v>1.5899399567550803</v>
      </c>
      <c r="V93" s="62">
        <v>1568000</v>
      </c>
      <c r="W93" s="62">
        <v>1291955</v>
      </c>
      <c r="X93" s="155">
        <f t="shared" si="164"/>
        <v>0.82395089285714285</v>
      </c>
      <c r="Y93" s="62">
        <v>7840</v>
      </c>
      <c r="Z93" s="62">
        <v>11332</v>
      </c>
      <c r="AA93" s="155">
        <f t="shared" si="165"/>
        <v>1.4454081632653062</v>
      </c>
      <c r="AB93" s="149">
        <v>5.0000000000000001E-3</v>
      </c>
      <c r="AC93" s="149">
        <f t="shared" si="166"/>
        <v>8.7712033313853809E-3</v>
      </c>
      <c r="AD93" s="155">
        <f t="shared" si="167"/>
        <v>1.7542406662770762</v>
      </c>
      <c r="AE93" s="62" t="s">
        <v>59</v>
      </c>
      <c r="AF93" s="62" t="s">
        <v>59</v>
      </c>
      <c r="AG93" s="155" t="s">
        <v>59</v>
      </c>
      <c r="AH93" s="137" t="s">
        <v>59</v>
      </c>
      <c r="AI93" s="137" t="s">
        <v>59</v>
      </c>
      <c r="AJ93" s="155" t="s">
        <v>59</v>
      </c>
      <c r="AK93" s="132" t="s">
        <v>112</v>
      </c>
      <c r="AL93" s="23">
        <v>5</v>
      </c>
      <c r="AM93" s="23">
        <f>AP93/Z93</f>
        <v>3.4592304977056125</v>
      </c>
      <c r="AN93" s="155">
        <f t="shared" si="172"/>
        <v>0.69184609954112253</v>
      </c>
      <c r="AO93" s="62">
        <v>39200</v>
      </c>
      <c r="AP93" s="62">
        <v>39200</v>
      </c>
      <c r="AQ93" s="155">
        <f t="shared" si="173"/>
        <v>1</v>
      </c>
      <c r="AR93" s="168" t="s">
        <v>59</v>
      </c>
      <c r="AS93" s="168" t="s">
        <v>59</v>
      </c>
      <c r="AT93" s="168" t="s">
        <v>59</v>
      </c>
      <c r="AU93" s="168" t="s">
        <v>59</v>
      </c>
      <c r="AV93" s="168" t="s">
        <v>59</v>
      </c>
      <c r="AW93" s="168" t="s">
        <v>59</v>
      </c>
      <c r="AX93" s="62">
        <v>39200</v>
      </c>
      <c r="AY93" s="62">
        <f>AP93</f>
        <v>39200</v>
      </c>
      <c r="AZ93" s="155">
        <f t="shared" si="175"/>
        <v>1</v>
      </c>
    </row>
    <row r="94" spans="1:52" x14ac:dyDescent="0.25">
      <c r="B94" s="57" t="s">
        <v>216</v>
      </c>
      <c r="C94" s="22" t="s">
        <v>52</v>
      </c>
      <c r="D94" s="170">
        <v>44562</v>
      </c>
      <c r="E94" s="170">
        <v>44592</v>
      </c>
      <c r="F94" s="57" t="s">
        <v>111</v>
      </c>
      <c r="G94" s="171" t="s">
        <v>217</v>
      </c>
      <c r="H94" s="168" t="s">
        <v>218</v>
      </c>
      <c r="I94" s="19" t="s">
        <v>193</v>
      </c>
      <c r="J94" s="19" t="s">
        <v>219</v>
      </c>
      <c r="K94" s="19" t="s">
        <v>216</v>
      </c>
      <c r="L94" s="169">
        <v>5100000</v>
      </c>
      <c r="M94" s="137">
        <v>0.7</v>
      </c>
      <c r="N94" s="137">
        <f t="shared" si="140"/>
        <v>0.62645392156862745</v>
      </c>
      <c r="O94" s="155">
        <f t="shared" si="160"/>
        <v>0.89493417366946781</v>
      </c>
      <c r="P94" s="62">
        <v>3570000</v>
      </c>
      <c r="Q94" s="62">
        <v>3194915</v>
      </c>
      <c r="R94" s="155">
        <f t="shared" si="161"/>
        <v>0.89493417366946781</v>
      </c>
      <c r="S94" s="60">
        <v>4</v>
      </c>
      <c r="T94" s="127">
        <f t="shared" si="162"/>
        <v>4.4889425853269964</v>
      </c>
      <c r="U94" s="155">
        <f t="shared" si="163"/>
        <v>1.1222356463317491</v>
      </c>
      <c r="V94" s="62">
        <v>14280000</v>
      </c>
      <c r="W94" s="62">
        <v>14341790</v>
      </c>
      <c r="X94" s="155">
        <f t="shared" si="164"/>
        <v>1.0043270308123249</v>
      </c>
      <c r="Y94" s="62">
        <v>57120</v>
      </c>
      <c r="Z94" s="62">
        <v>5039</v>
      </c>
      <c r="AA94" s="155">
        <f t="shared" si="165"/>
        <v>8.8217787114845944E-2</v>
      </c>
      <c r="AB94" s="149">
        <v>4.0000000000000001E-3</v>
      </c>
      <c r="AC94" s="149">
        <f t="shared" si="166"/>
        <v>3.5135084253778645E-4</v>
      </c>
      <c r="AD94" s="155">
        <f t="shared" si="167"/>
        <v>8.7837710634446606E-2</v>
      </c>
      <c r="AE94" s="62">
        <v>1428000</v>
      </c>
      <c r="AF94" s="62">
        <v>1157859</v>
      </c>
      <c r="AG94" s="155">
        <f t="shared" si="168"/>
        <v>0.81082563025210086</v>
      </c>
      <c r="AH94" s="137">
        <v>0.1</v>
      </c>
      <c r="AI94" s="137">
        <f t="shared" si="169"/>
        <v>8.0733227860678478E-2</v>
      </c>
      <c r="AJ94" s="155">
        <f t="shared" si="170"/>
        <v>0.80733227860678469</v>
      </c>
      <c r="AK94" s="132" t="s">
        <v>60</v>
      </c>
      <c r="AL94" s="23">
        <v>43</v>
      </c>
      <c r="AM94" s="23">
        <f t="shared" si="171"/>
        <v>42.814739303810754</v>
      </c>
      <c r="AN94" s="155">
        <f t="shared" si="172"/>
        <v>0.9956916117165292</v>
      </c>
      <c r="AO94" s="62">
        <v>614040</v>
      </c>
      <c r="AP94" s="62">
        <v>614040</v>
      </c>
      <c r="AQ94" s="155">
        <f t="shared" si="173"/>
        <v>1</v>
      </c>
      <c r="AR94" s="168" t="s">
        <v>59</v>
      </c>
      <c r="AS94" s="168" t="s">
        <v>59</v>
      </c>
      <c r="AT94" s="168" t="s">
        <v>59</v>
      </c>
      <c r="AU94" s="168" t="s">
        <v>59</v>
      </c>
      <c r="AV94" s="168" t="s">
        <v>59</v>
      </c>
      <c r="AW94" s="168" t="s">
        <v>59</v>
      </c>
      <c r="AX94" s="62">
        <v>614040</v>
      </c>
      <c r="AY94" s="62">
        <f>AP94</f>
        <v>614040</v>
      </c>
      <c r="AZ94" s="155">
        <f t="shared" si="175"/>
        <v>1</v>
      </c>
    </row>
    <row r="95" spans="1:52" x14ac:dyDescent="0.25">
      <c r="B95" s="57" t="s">
        <v>220</v>
      </c>
      <c r="C95" s="19" t="s">
        <v>221</v>
      </c>
      <c r="D95" s="170">
        <v>44562</v>
      </c>
      <c r="E95" s="170">
        <v>44592</v>
      </c>
      <c r="F95" s="57" t="s">
        <v>111</v>
      </c>
      <c r="G95" s="171" t="s">
        <v>222</v>
      </c>
      <c r="H95" s="168" t="s">
        <v>135</v>
      </c>
      <c r="I95" s="19" t="s">
        <v>214</v>
      </c>
      <c r="J95" s="19" t="s">
        <v>215</v>
      </c>
      <c r="K95" s="19" t="s">
        <v>220</v>
      </c>
      <c r="L95" s="169">
        <v>7200000</v>
      </c>
      <c r="M95" s="137">
        <v>0.7</v>
      </c>
      <c r="N95" s="137">
        <f t="shared" si="140"/>
        <v>0.62583374999999997</v>
      </c>
      <c r="O95" s="155">
        <f t="shared" si="160"/>
        <v>0.89404821428571435</v>
      </c>
      <c r="P95" s="62">
        <v>5040000</v>
      </c>
      <c r="Q95" s="62">
        <v>4506003</v>
      </c>
      <c r="R95" s="155">
        <f t="shared" si="161"/>
        <v>0.89404821428571424</v>
      </c>
      <c r="S95" s="60">
        <v>6.45</v>
      </c>
      <c r="T95" s="127">
        <f t="shared" si="162"/>
        <v>6.0978501345871274</v>
      </c>
      <c r="U95" s="155">
        <f t="shared" si="163"/>
        <v>0.94540312164141505</v>
      </c>
      <c r="V95" s="62">
        <v>32508000</v>
      </c>
      <c r="W95" s="62">
        <v>27476931</v>
      </c>
      <c r="X95" s="155">
        <f t="shared" si="164"/>
        <v>0.84523597268364714</v>
      </c>
      <c r="Y95" s="62">
        <v>22755.599999999999</v>
      </c>
      <c r="Z95" s="62">
        <v>22639</v>
      </c>
      <c r="AA95" s="155">
        <f t="shared" si="165"/>
        <v>0.99487598657033882</v>
      </c>
      <c r="AB95" s="149">
        <v>6.9999999999999999E-4</v>
      </c>
      <c r="AC95" s="149">
        <f t="shared" si="166"/>
        <v>8.239275339738634E-4</v>
      </c>
      <c r="AD95" s="155">
        <f t="shared" si="167"/>
        <v>1.1770393342483763</v>
      </c>
      <c r="AE95" s="62">
        <v>16254000</v>
      </c>
      <c r="AF95" s="62">
        <v>1040893</v>
      </c>
      <c r="AG95" s="155">
        <f t="shared" si="168"/>
        <v>6.4039190353143843E-2</v>
      </c>
      <c r="AH95" s="137">
        <v>0.5</v>
      </c>
      <c r="AI95" s="137">
        <f t="shared" si="169"/>
        <v>3.7882433085412635E-2</v>
      </c>
      <c r="AJ95" s="155">
        <f t="shared" si="170"/>
        <v>7.5764866170825271E-2</v>
      </c>
      <c r="AK95" s="132" t="s">
        <v>60</v>
      </c>
      <c r="AL95" s="23">
        <v>66</v>
      </c>
      <c r="AM95" s="23">
        <f t="shared" si="171"/>
        <v>78.031903563028933</v>
      </c>
      <c r="AN95" s="155">
        <f t="shared" si="172"/>
        <v>1.182301569136802</v>
      </c>
      <c r="AO95" s="62">
        <v>2145528</v>
      </c>
      <c r="AP95" s="62">
        <v>2144077.23</v>
      </c>
      <c r="AQ95" s="155">
        <f t="shared" si="173"/>
        <v>0.99932381679474702</v>
      </c>
      <c r="AR95" s="168" t="s">
        <v>59</v>
      </c>
      <c r="AS95" s="168" t="s">
        <v>59</v>
      </c>
      <c r="AT95" s="168" t="s">
        <v>59</v>
      </c>
      <c r="AU95" s="168" t="s">
        <v>59</v>
      </c>
      <c r="AV95" s="168" t="s">
        <v>59</v>
      </c>
      <c r="AW95" s="168" t="s">
        <v>59</v>
      </c>
      <c r="AX95" s="62">
        <v>2145528</v>
      </c>
      <c r="AY95" s="62">
        <v>2144077.23</v>
      </c>
      <c r="AZ95" s="155">
        <f t="shared" si="175"/>
        <v>0.99932381679474702</v>
      </c>
    </row>
    <row r="96" spans="1:52" x14ac:dyDescent="0.25">
      <c r="B96" s="57" t="s">
        <v>220</v>
      </c>
      <c r="C96" s="19" t="s">
        <v>221</v>
      </c>
      <c r="D96" s="170">
        <v>44562</v>
      </c>
      <c r="E96" s="170">
        <v>44592</v>
      </c>
      <c r="F96" s="57" t="s">
        <v>111</v>
      </c>
      <c r="G96" s="171" t="s">
        <v>222</v>
      </c>
      <c r="H96" s="168" t="s">
        <v>196</v>
      </c>
      <c r="I96" s="19" t="s">
        <v>214</v>
      </c>
      <c r="J96" s="19" t="s">
        <v>215</v>
      </c>
      <c r="K96" s="19" t="s">
        <v>220</v>
      </c>
      <c r="L96" s="169">
        <v>5800000</v>
      </c>
      <c r="M96" s="137">
        <v>0.7</v>
      </c>
      <c r="N96" s="137">
        <f t="shared" si="140"/>
        <v>0.66321482758620687</v>
      </c>
      <c r="O96" s="155">
        <f t="shared" si="160"/>
        <v>0.94744975369458129</v>
      </c>
      <c r="P96" s="62">
        <v>4059999.9999999995</v>
      </c>
      <c r="Q96" s="62">
        <v>3846646</v>
      </c>
      <c r="R96" s="155">
        <f t="shared" si="161"/>
        <v>0.9474497536945814</v>
      </c>
      <c r="S96" s="60">
        <v>6</v>
      </c>
      <c r="T96" s="127">
        <f t="shared" si="162"/>
        <v>6.8010404388654431</v>
      </c>
      <c r="U96" s="155">
        <f t="shared" si="163"/>
        <v>1.1335067398109071</v>
      </c>
      <c r="V96" s="62">
        <v>24359999.999999996</v>
      </c>
      <c r="W96" s="62">
        <v>26161195</v>
      </c>
      <c r="X96" s="155">
        <f t="shared" si="164"/>
        <v>1.0739406814449919</v>
      </c>
      <c r="Y96" s="62">
        <v>17051.999999999996</v>
      </c>
      <c r="Z96" s="62">
        <v>21169</v>
      </c>
      <c r="AA96" s="155">
        <f t="shared" si="165"/>
        <v>1.2414379544921419</v>
      </c>
      <c r="AB96" s="149">
        <v>6.9999999999999999E-4</v>
      </c>
      <c r="AC96" s="149">
        <f t="shared" si="166"/>
        <v>8.0917557473960961E-4</v>
      </c>
      <c r="AD96" s="155">
        <f t="shared" si="167"/>
        <v>1.1559651067708709</v>
      </c>
      <c r="AE96" s="62">
        <v>12179999.999999998</v>
      </c>
      <c r="AF96" s="62">
        <v>926583</v>
      </c>
      <c r="AG96" s="155">
        <f t="shared" si="168"/>
        <v>7.60741379310345E-2</v>
      </c>
      <c r="AH96" s="137">
        <v>0.5</v>
      </c>
      <c r="AI96" s="137">
        <f t="shared" si="169"/>
        <v>3.5418221530018029E-2</v>
      </c>
      <c r="AJ96" s="155">
        <f t="shared" si="170"/>
        <v>7.0836443060036058E-2</v>
      </c>
      <c r="AK96" s="132" t="s">
        <v>60</v>
      </c>
      <c r="AL96" s="23">
        <v>63.800000000000004</v>
      </c>
      <c r="AM96" s="23">
        <f t="shared" si="171"/>
        <v>59.36582751667116</v>
      </c>
      <c r="AN96" s="155">
        <f t="shared" si="172"/>
        <v>0.93049886389766701</v>
      </c>
      <c r="AO96" s="62">
        <v>1554167.9999999998</v>
      </c>
      <c r="AP96" s="62">
        <v>1553080.99</v>
      </c>
      <c r="AQ96" s="155">
        <f t="shared" si="173"/>
        <v>0.99930058397805144</v>
      </c>
      <c r="AR96" s="168" t="s">
        <v>59</v>
      </c>
      <c r="AS96" s="168" t="s">
        <v>59</v>
      </c>
      <c r="AT96" s="168" t="s">
        <v>59</v>
      </c>
      <c r="AU96" s="168" t="s">
        <v>59</v>
      </c>
      <c r="AV96" s="168" t="s">
        <v>59</v>
      </c>
      <c r="AW96" s="168" t="s">
        <v>59</v>
      </c>
      <c r="AX96" s="62">
        <v>1554167.9999999998</v>
      </c>
      <c r="AY96" s="62">
        <v>1553080.99</v>
      </c>
      <c r="AZ96" s="155">
        <f t="shared" si="175"/>
        <v>0.99930058397805144</v>
      </c>
    </row>
    <row r="97" spans="1:52" x14ac:dyDescent="0.25">
      <c r="A97" t="s">
        <v>191</v>
      </c>
      <c r="B97" s="57" t="s">
        <v>220</v>
      </c>
      <c r="C97" s="19" t="s">
        <v>221</v>
      </c>
      <c r="D97" s="170">
        <v>44562</v>
      </c>
      <c r="E97" s="170">
        <v>44592</v>
      </c>
      <c r="F97" s="57" t="s">
        <v>111</v>
      </c>
      <c r="G97" s="171" t="s">
        <v>222</v>
      </c>
      <c r="H97" s="168" t="s">
        <v>197</v>
      </c>
      <c r="I97" s="19" t="s">
        <v>214</v>
      </c>
      <c r="J97" s="19" t="s">
        <v>215</v>
      </c>
      <c r="K97" s="19" t="s">
        <v>220</v>
      </c>
      <c r="L97" s="169">
        <v>3200000</v>
      </c>
      <c r="M97" s="137">
        <v>0.7</v>
      </c>
      <c r="N97" s="137">
        <f t="shared" si="140"/>
        <v>0.65141625000000003</v>
      </c>
      <c r="O97" s="155">
        <f t="shared" si="160"/>
        <v>0.930594642857143</v>
      </c>
      <c r="P97" s="62">
        <v>2240000</v>
      </c>
      <c r="Q97" s="62">
        <v>2084532</v>
      </c>
      <c r="R97" s="155">
        <f t="shared" si="161"/>
        <v>0.93059464285714288</v>
      </c>
      <c r="S97" s="60">
        <v>6</v>
      </c>
      <c r="T97" s="127">
        <f t="shared" si="162"/>
        <v>7.5348308397280537</v>
      </c>
      <c r="U97" s="155">
        <f t="shared" si="163"/>
        <v>1.2558051399546757</v>
      </c>
      <c r="V97" s="62">
        <v>13440000</v>
      </c>
      <c r="W97" s="62">
        <v>15706596</v>
      </c>
      <c r="X97" s="155">
        <f t="shared" si="164"/>
        <v>1.1686455357142858</v>
      </c>
      <c r="Y97" s="62">
        <v>9408</v>
      </c>
      <c r="Z97" s="62">
        <v>13519</v>
      </c>
      <c r="AA97" s="155">
        <f t="shared" si="165"/>
        <v>1.4369685374149659</v>
      </c>
      <c r="AB97" s="149">
        <v>6.9999999999999999E-4</v>
      </c>
      <c r="AC97" s="149">
        <f t="shared" si="166"/>
        <v>8.6072119000195845E-4</v>
      </c>
      <c r="AD97" s="155">
        <f t="shared" si="167"/>
        <v>1.2296017000027979</v>
      </c>
      <c r="AE97" s="62">
        <v>6720000</v>
      </c>
      <c r="AF97" s="62">
        <v>604769</v>
      </c>
      <c r="AG97" s="155">
        <f t="shared" si="168"/>
        <v>8.9995386904761901E-2</v>
      </c>
      <c r="AH97" s="137">
        <v>0.5</v>
      </c>
      <c r="AI97" s="137">
        <f t="shared" si="169"/>
        <v>3.8504141826784112E-2</v>
      </c>
      <c r="AJ97" s="155">
        <f t="shared" si="170"/>
        <v>7.7008283653568224E-2</v>
      </c>
      <c r="AK97" s="132" t="s">
        <v>60</v>
      </c>
      <c r="AL97" s="23">
        <v>72.600000000000009</v>
      </c>
      <c r="AM97" s="23">
        <f t="shared" si="171"/>
        <v>62.065045793499749</v>
      </c>
      <c r="AN97" s="155">
        <f t="shared" si="172"/>
        <v>0.85489043792699371</v>
      </c>
      <c r="AO97" s="62">
        <v>975744.00000000012</v>
      </c>
      <c r="AP97" s="62">
        <v>974830.6</v>
      </c>
      <c r="AQ97" s="155">
        <f t="shared" si="173"/>
        <v>0.99906389380821181</v>
      </c>
      <c r="AR97" s="168" t="s">
        <v>59</v>
      </c>
      <c r="AS97" s="168" t="s">
        <v>59</v>
      </c>
      <c r="AT97" s="168" t="s">
        <v>59</v>
      </c>
      <c r="AU97" s="168" t="s">
        <v>59</v>
      </c>
      <c r="AV97" s="168" t="s">
        <v>59</v>
      </c>
      <c r="AW97" s="168" t="s">
        <v>59</v>
      </c>
      <c r="AX97" s="62">
        <v>975744.00000000012</v>
      </c>
      <c r="AY97" s="62">
        <v>974830.6</v>
      </c>
      <c r="AZ97" s="155">
        <f t="shared" si="175"/>
        <v>0.99906389380821181</v>
      </c>
    </row>
    <row r="98" spans="1:52" x14ac:dyDescent="0.25">
      <c r="B98" s="57" t="s">
        <v>220</v>
      </c>
      <c r="C98" s="19" t="s">
        <v>221</v>
      </c>
      <c r="D98" s="170">
        <v>44562</v>
      </c>
      <c r="E98" s="170">
        <v>44592</v>
      </c>
      <c r="F98" s="57" t="s">
        <v>111</v>
      </c>
      <c r="G98" s="171" t="s">
        <v>222</v>
      </c>
      <c r="H98" s="168" t="s">
        <v>198</v>
      </c>
      <c r="I98" s="19" t="s">
        <v>214</v>
      </c>
      <c r="J98" s="19" t="s">
        <v>215</v>
      </c>
      <c r="K98" s="19" t="s">
        <v>220</v>
      </c>
      <c r="L98" s="169">
        <v>2000000</v>
      </c>
      <c r="M98" s="137">
        <v>0.7</v>
      </c>
      <c r="N98" s="137">
        <f t="shared" si="140"/>
        <v>0.636185</v>
      </c>
      <c r="O98" s="155">
        <f t="shared" si="160"/>
        <v>0.9088357142857143</v>
      </c>
      <c r="P98" s="62">
        <v>1400000</v>
      </c>
      <c r="Q98" s="62">
        <v>1272370</v>
      </c>
      <c r="R98" s="155">
        <f t="shared" si="161"/>
        <v>0.9088357142857143</v>
      </c>
      <c r="S98" s="60">
        <v>6</v>
      </c>
      <c r="T98" s="127">
        <f t="shared" si="162"/>
        <v>6.5192467599833384</v>
      </c>
      <c r="U98" s="155">
        <f t="shared" si="163"/>
        <v>1.0865411266638898</v>
      </c>
      <c r="V98" s="62">
        <v>8400000</v>
      </c>
      <c r="W98" s="62">
        <v>8294894</v>
      </c>
      <c r="X98" s="155">
        <f t="shared" si="164"/>
        <v>0.98748738095238098</v>
      </c>
      <c r="Y98" s="62">
        <v>5880</v>
      </c>
      <c r="Z98" s="62">
        <v>6148</v>
      </c>
      <c r="AA98" s="155">
        <f t="shared" si="165"/>
        <v>1.045578231292517</v>
      </c>
      <c r="AB98" s="149">
        <v>6.9999999999999999E-4</v>
      </c>
      <c r="AC98" s="149">
        <f t="shared" si="166"/>
        <v>7.4117885050731204E-4</v>
      </c>
      <c r="AD98" s="155">
        <f t="shared" si="167"/>
        <v>1.0588269292961601</v>
      </c>
      <c r="AE98" s="62">
        <v>4200000</v>
      </c>
      <c r="AF98" s="62">
        <v>323211</v>
      </c>
      <c r="AG98" s="155">
        <f t="shared" si="168"/>
        <v>7.6954999999999996E-2</v>
      </c>
      <c r="AH98" s="137">
        <v>0.5</v>
      </c>
      <c r="AI98" s="137">
        <f t="shared" si="169"/>
        <v>3.8965054887982895E-2</v>
      </c>
      <c r="AJ98" s="155">
        <f t="shared" si="170"/>
        <v>7.7930109775965789E-2</v>
      </c>
      <c r="AK98" s="132" t="s">
        <v>60</v>
      </c>
      <c r="AL98" s="23">
        <v>58.300000000000004</v>
      </c>
      <c r="AM98" s="23">
        <f t="shared" si="171"/>
        <v>59.006992735531043</v>
      </c>
      <c r="AN98" s="155">
        <f t="shared" si="172"/>
        <v>1.012126805069143</v>
      </c>
      <c r="AO98" s="62">
        <v>489720.00000000006</v>
      </c>
      <c r="AP98" s="62">
        <v>489456.75</v>
      </c>
      <c r="AQ98" s="155">
        <f t="shared" si="173"/>
        <v>0.99946244792942895</v>
      </c>
      <c r="AR98" s="168" t="s">
        <v>59</v>
      </c>
      <c r="AS98" s="168" t="s">
        <v>59</v>
      </c>
      <c r="AT98" s="168" t="s">
        <v>59</v>
      </c>
      <c r="AU98" s="168" t="s">
        <v>59</v>
      </c>
      <c r="AV98" s="168" t="s">
        <v>59</v>
      </c>
      <c r="AW98" s="168" t="s">
        <v>59</v>
      </c>
      <c r="AX98" s="62">
        <v>489720.00000000006</v>
      </c>
      <c r="AY98" s="62">
        <v>489456.75</v>
      </c>
      <c r="AZ98" s="155">
        <f t="shared" si="175"/>
        <v>0.99946244792942895</v>
      </c>
    </row>
    <row r="99" spans="1:52" x14ac:dyDescent="0.25">
      <c r="B99" s="57" t="s">
        <v>220</v>
      </c>
      <c r="C99" s="19" t="s">
        <v>221</v>
      </c>
      <c r="D99" s="170">
        <v>44562</v>
      </c>
      <c r="E99" s="170">
        <v>44592</v>
      </c>
      <c r="F99" s="57" t="s">
        <v>111</v>
      </c>
      <c r="G99" s="171" t="s">
        <v>222</v>
      </c>
      <c r="H99" s="168" t="s">
        <v>199</v>
      </c>
      <c r="I99" s="19" t="s">
        <v>214</v>
      </c>
      <c r="J99" s="19" t="s">
        <v>215</v>
      </c>
      <c r="K99" s="19" t="s">
        <v>220</v>
      </c>
      <c r="L99" s="169">
        <v>2400000</v>
      </c>
      <c r="M99" s="137">
        <v>0.7</v>
      </c>
      <c r="N99" s="137">
        <f t="shared" si="140"/>
        <v>0.61164375000000004</v>
      </c>
      <c r="O99" s="155">
        <f t="shared" si="160"/>
        <v>0.87377678571428585</v>
      </c>
      <c r="P99" s="62">
        <v>1680000</v>
      </c>
      <c r="Q99" s="62">
        <v>1467945</v>
      </c>
      <c r="R99" s="155">
        <f t="shared" si="161"/>
        <v>0.87377678571428574</v>
      </c>
      <c r="S99" s="60">
        <v>6</v>
      </c>
      <c r="T99" s="127">
        <f t="shared" si="162"/>
        <v>7.3439808712179273</v>
      </c>
      <c r="U99" s="155">
        <f t="shared" si="163"/>
        <v>1.2239968118696545</v>
      </c>
      <c r="V99" s="62">
        <v>10080000</v>
      </c>
      <c r="W99" s="62">
        <v>10780560</v>
      </c>
      <c r="X99" s="155">
        <f t="shared" si="164"/>
        <v>1.0694999999999999</v>
      </c>
      <c r="Y99" s="62">
        <v>7056</v>
      </c>
      <c r="Z99" s="62">
        <v>8869</v>
      </c>
      <c r="AA99" s="155">
        <f t="shared" si="165"/>
        <v>1.2569444444444444</v>
      </c>
      <c r="AB99" s="149">
        <v>6.9999999999999999E-4</v>
      </c>
      <c r="AC99" s="149">
        <f t="shared" si="166"/>
        <v>8.226845358682666E-4</v>
      </c>
      <c r="AD99" s="155">
        <f t="shared" si="167"/>
        <v>1.1752636226689523</v>
      </c>
      <c r="AE99" s="62">
        <v>5040000</v>
      </c>
      <c r="AF99" s="62">
        <v>373961</v>
      </c>
      <c r="AG99" s="155">
        <f t="shared" si="168"/>
        <v>7.4198611111111118E-2</v>
      </c>
      <c r="AH99" s="137">
        <v>0.5</v>
      </c>
      <c r="AI99" s="137">
        <f t="shared" si="169"/>
        <v>3.4688457742454937E-2</v>
      </c>
      <c r="AJ99" s="155">
        <f t="shared" si="170"/>
        <v>6.9376915484909873E-2</v>
      </c>
      <c r="AK99" s="132" t="s">
        <v>60</v>
      </c>
      <c r="AL99" s="23">
        <v>46.2</v>
      </c>
      <c r="AM99" s="23">
        <f t="shared" si="171"/>
        <v>43.158243171041207</v>
      </c>
      <c r="AN99" s="155">
        <f t="shared" si="172"/>
        <v>0.9341611075982944</v>
      </c>
      <c r="AO99" s="62">
        <v>465696</v>
      </c>
      <c r="AP99" s="62">
        <v>465270.03</v>
      </c>
      <c r="AQ99" s="155">
        <f t="shared" si="173"/>
        <v>0.99908530457637601</v>
      </c>
      <c r="AR99" s="168" t="s">
        <v>59</v>
      </c>
      <c r="AS99" s="168" t="s">
        <v>59</v>
      </c>
      <c r="AT99" s="168" t="s">
        <v>59</v>
      </c>
      <c r="AU99" s="168" t="s">
        <v>59</v>
      </c>
      <c r="AV99" s="168" t="s">
        <v>59</v>
      </c>
      <c r="AW99" s="168" t="s">
        <v>59</v>
      </c>
      <c r="AX99" s="62">
        <v>465696</v>
      </c>
      <c r="AY99" s="62">
        <v>465270.03</v>
      </c>
      <c r="AZ99" s="155">
        <f t="shared" si="175"/>
        <v>0.99908530457637601</v>
      </c>
    </row>
    <row r="100" spans="1:52" x14ac:dyDescent="0.25">
      <c r="A100" t="s">
        <v>228</v>
      </c>
      <c r="B100" s="57" t="s">
        <v>220</v>
      </c>
      <c r="C100" s="19" t="s">
        <v>221</v>
      </c>
      <c r="D100" s="170">
        <v>44562</v>
      </c>
      <c r="E100" s="170">
        <v>44592</v>
      </c>
      <c r="F100" s="57" t="s">
        <v>111</v>
      </c>
      <c r="G100" s="171" t="s">
        <v>222</v>
      </c>
      <c r="H100" s="168" t="s">
        <v>200</v>
      </c>
      <c r="I100" s="19" t="s">
        <v>214</v>
      </c>
      <c r="J100" s="19" t="s">
        <v>215</v>
      </c>
      <c r="K100" s="19" t="s">
        <v>220</v>
      </c>
      <c r="L100" s="169">
        <v>2700000</v>
      </c>
      <c r="M100" s="137">
        <v>0.7</v>
      </c>
      <c r="N100" s="137">
        <f t="shared" si="140"/>
        <v>0.65923333333333334</v>
      </c>
      <c r="O100" s="155">
        <f t="shared" si="160"/>
        <v>0.9417619047619048</v>
      </c>
      <c r="P100" s="62">
        <v>1889999.9999999998</v>
      </c>
      <c r="Q100" s="62">
        <v>1779930</v>
      </c>
      <c r="R100" s="155">
        <f t="shared" si="161"/>
        <v>0.94176190476190491</v>
      </c>
      <c r="S100" s="60">
        <v>6</v>
      </c>
      <c r="T100" s="127">
        <f t="shared" si="162"/>
        <v>6.0480872843314062</v>
      </c>
      <c r="U100" s="155">
        <f t="shared" si="163"/>
        <v>1.0080145473885678</v>
      </c>
      <c r="V100" s="62">
        <v>11339999.999999998</v>
      </c>
      <c r="W100" s="62">
        <v>10765172</v>
      </c>
      <c r="X100" s="155">
        <f t="shared" si="164"/>
        <v>0.94930970017636696</v>
      </c>
      <c r="Y100" s="62">
        <v>7937.9999999999982</v>
      </c>
      <c r="Z100" s="62">
        <v>9253</v>
      </c>
      <c r="AA100" s="155">
        <f t="shared" si="165"/>
        <v>1.1656588561350469</v>
      </c>
      <c r="AB100" s="149">
        <v>6.9999999999999999E-4</v>
      </c>
      <c r="AC100" s="149">
        <f t="shared" si="166"/>
        <v>8.5953108784513619E-4</v>
      </c>
      <c r="AD100" s="155">
        <f t="shared" si="167"/>
        <v>1.2279015540644802</v>
      </c>
      <c r="AE100" s="62">
        <v>5669999.9999999991</v>
      </c>
      <c r="AF100" s="62">
        <v>422609</v>
      </c>
      <c r="AG100" s="155">
        <f t="shared" si="168"/>
        <v>7.4534215167548518E-2</v>
      </c>
      <c r="AH100" s="137">
        <v>0.5</v>
      </c>
      <c r="AI100" s="137">
        <f t="shared" si="169"/>
        <v>3.9257059710704111E-2</v>
      </c>
      <c r="AJ100" s="155">
        <f t="shared" si="170"/>
        <v>7.8514119421408221E-2</v>
      </c>
      <c r="AK100" s="132" t="s">
        <v>60</v>
      </c>
      <c r="AL100" s="23">
        <v>59.400000000000006</v>
      </c>
      <c r="AM100" s="23">
        <f t="shared" si="171"/>
        <v>62.512491207757762</v>
      </c>
      <c r="AN100" s="155">
        <f t="shared" si="172"/>
        <v>1.0523988418814436</v>
      </c>
      <c r="AO100" s="62">
        <v>673596</v>
      </c>
      <c r="AP100" s="62">
        <v>672957.72</v>
      </c>
      <c r="AQ100" s="155">
        <f t="shared" si="173"/>
        <v>0.99905242905242897</v>
      </c>
      <c r="AR100" s="168" t="s">
        <v>59</v>
      </c>
      <c r="AS100" s="168" t="s">
        <v>59</v>
      </c>
      <c r="AT100" s="168" t="s">
        <v>59</v>
      </c>
      <c r="AU100" s="168" t="s">
        <v>59</v>
      </c>
      <c r="AV100" s="168" t="s">
        <v>59</v>
      </c>
      <c r="AW100" s="168" t="s">
        <v>59</v>
      </c>
      <c r="AX100" s="62">
        <v>673596</v>
      </c>
      <c r="AY100" s="62">
        <v>672957.72</v>
      </c>
      <c r="AZ100" s="155">
        <f t="shared" si="175"/>
        <v>0.99905242905242897</v>
      </c>
    </row>
    <row r="101" spans="1:52" x14ac:dyDescent="0.25">
      <c r="B101" s="57" t="s">
        <v>223</v>
      </c>
      <c r="C101" s="19" t="s">
        <v>221</v>
      </c>
      <c r="D101" s="170">
        <v>44562</v>
      </c>
      <c r="E101" s="170">
        <v>44592</v>
      </c>
      <c r="F101" s="57" t="s">
        <v>111</v>
      </c>
      <c r="G101" s="171" t="s">
        <v>224</v>
      </c>
      <c r="H101" s="168" t="s">
        <v>135</v>
      </c>
      <c r="I101" s="19" t="s">
        <v>214</v>
      </c>
      <c r="J101" s="19" t="s">
        <v>215</v>
      </c>
      <c r="K101" s="19" t="s">
        <v>223</v>
      </c>
      <c r="L101" s="169">
        <v>2600000</v>
      </c>
      <c r="M101" s="137">
        <v>0.7</v>
      </c>
      <c r="N101" s="137">
        <f t="shared" si="140"/>
        <v>0.59434307692307697</v>
      </c>
      <c r="O101" s="155">
        <f t="shared" si="160"/>
        <v>0.84906153846153853</v>
      </c>
      <c r="P101" s="62">
        <v>1820000</v>
      </c>
      <c r="Q101" s="62">
        <v>1545292</v>
      </c>
      <c r="R101" s="155">
        <f t="shared" si="161"/>
        <v>0.84906153846153842</v>
      </c>
      <c r="S101" s="60">
        <v>6.45</v>
      </c>
      <c r="T101" s="127">
        <f t="shared" si="162"/>
        <v>6.0316794495797561</v>
      </c>
      <c r="U101" s="155">
        <f t="shared" si="163"/>
        <v>0.93514410071003973</v>
      </c>
      <c r="V101" s="62">
        <v>11739000</v>
      </c>
      <c r="W101" s="62">
        <v>9320706</v>
      </c>
      <c r="X101" s="155">
        <f t="shared" si="164"/>
        <v>0.79399488883209812</v>
      </c>
      <c r="Y101" s="62">
        <v>64564.499999999993</v>
      </c>
      <c r="Z101" s="62">
        <v>56450</v>
      </c>
      <c r="AA101" s="155">
        <f t="shared" si="165"/>
        <v>0.87431947897064188</v>
      </c>
      <c r="AB101" s="149">
        <v>5.4999999999999997E-3</v>
      </c>
      <c r="AC101" s="149">
        <f t="shared" si="166"/>
        <v>6.056408173372275E-3</v>
      </c>
      <c r="AD101" s="155">
        <f t="shared" si="167"/>
        <v>1.1011651224313228</v>
      </c>
      <c r="AE101" s="62">
        <v>5869500</v>
      </c>
      <c r="AF101" s="62">
        <v>401371</v>
      </c>
      <c r="AG101" s="155">
        <f t="shared" si="168"/>
        <v>6.838248573132294E-2</v>
      </c>
      <c r="AH101" s="137">
        <v>0.5</v>
      </c>
      <c r="AI101" s="137">
        <f t="shared" si="169"/>
        <v>4.306229592479368E-2</v>
      </c>
      <c r="AJ101" s="155">
        <f t="shared" si="170"/>
        <v>8.6124591849587359E-2</v>
      </c>
      <c r="AK101" s="132" t="s">
        <v>60</v>
      </c>
      <c r="AL101" s="23">
        <v>49.500000000000007</v>
      </c>
      <c r="AM101" s="23">
        <f t="shared" si="171"/>
        <v>62.315722650194097</v>
      </c>
      <c r="AN101" s="155">
        <f t="shared" si="172"/>
        <v>1.2589034878827088</v>
      </c>
      <c r="AO101" s="62">
        <v>581080.50000000012</v>
      </c>
      <c r="AP101" s="62">
        <v>580826.53</v>
      </c>
      <c r="AQ101" s="155">
        <f t="shared" si="173"/>
        <v>0.99956293491177195</v>
      </c>
      <c r="AR101" s="168" t="s">
        <v>59</v>
      </c>
      <c r="AS101" s="168" t="s">
        <v>59</v>
      </c>
      <c r="AT101" s="168" t="s">
        <v>59</v>
      </c>
      <c r="AU101" s="168" t="s">
        <v>59</v>
      </c>
      <c r="AV101" s="168" t="s">
        <v>59</v>
      </c>
      <c r="AW101" s="168" t="s">
        <v>59</v>
      </c>
      <c r="AX101" s="62">
        <v>581080.50000000012</v>
      </c>
      <c r="AY101" s="62">
        <v>580826.53</v>
      </c>
      <c r="AZ101" s="155">
        <f t="shared" si="175"/>
        <v>0.99956293491177195</v>
      </c>
    </row>
    <row r="102" spans="1:52" x14ac:dyDescent="0.25">
      <c r="B102" s="57" t="s">
        <v>223</v>
      </c>
      <c r="C102" s="19" t="s">
        <v>221</v>
      </c>
      <c r="D102" s="170">
        <v>44562</v>
      </c>
      <c r="E102" s="170">
        <v>44592</v>
      </c>
      <c r="F102" s="57" t="s">
        <v>111</v>
      </c>
      <c r="G102" s="171" t="s">
        <v>224</v>
      </c>
      <c r="H102" s="168" t="s">
        <v>196</v>
      </c>
      <c r="I102" s="19" t="s">
        <v>214</v>
      </c>
      <c r="J102" s="19" t="s">
        <v>215</v>
      </c>
      <c r="K102" s="19" t="s">
        <v>223</v>
      </c>
      <c r="L102" s="169">
        <v>2300000</v>
      </c>
      <c r="M102" s="137">
        <v>0.7</v>
      </c>
      <c r="N102" s="137">
        <f t="shared" si="140"/>
        <v>0.60085782608695648</v>
      </c>
      <c r="O102" s="155">
        <f t="shared" si="160"/>
        <v>0.85836832298136645</v>
      </c>
      <c r="P102" s="62">
        <v>1610000</v>
      </c>
      <c r="Q102" s="62">
        <v>1381973</v>
      </c>
      <c r="R102" s="155">
        <f t="shared" si="161"/>
        <v>0.85836832298136645</v>
      </c>
      <c r="S102" s="60">
        <v>6</v>
      </c>
      <c r="T102" s="127">
        <f t="shared" si="162"/>
        <v>6.0538056821660051</v>
      </c>
      <c r="U102" s="155">
        <f t="shared" si="163"/>
        <v>1.0089676136943342</v>
      </c>
      <c r="V102" s="62">
        <v>9660000</v>
      </c>
      <c r="W102" s="62">
        <v>8366196</v>
      </c>
      <c r="X102" s="155">
        <f t="shared" si="164"/>
        <v>0.86606583850931673</v>
      </c>
      <c r="Y102" s="62">
        <v>53130</v>
      </c>
      <c r="Z102" s="62">
        <v>47483</v>
      </c>
      <c r="AA102" s="155">
        <f t="shared" si="165"/>
        <v>0.8937135328439676</v>
      </c>
      <c r="AB102" s="149">
        <v>5.4999999999999997E-3</v>
      </c>
      <c r="AC102" s="149">
        <f t="shared" si="166"/>
        <v>5.6755782436844655E-3</v>
      </c>
      <c r="AD102" s="155">
        <f t="shared" si="167"/>
        <v>1.0319233170335393</v>
      </c>
      <c r="AE102" s="62">
        <v>4830000</v>
      </c>
      <c r="AF102" s="62">
        <v>349540</v>
      </c>
      <c r="AG102" s="155">
        <f t="shared" si="168"/>
        <v>7.2368530020703939E-2</v>
      </c>
      <c r="AH102" s="137">
        <v>0.5</v>
      </c>
      <c r="AI102" s="137">
        <f t="shared" si="169"/>
        <v>4.1780039578322097E-2</v>
      </c>
      <c r="AJ102" s="155">
        <f t="shared" si="170"/>
        <v>8.3560079156644193E-2</v>
      </c>
      <c r="AK102" s="132" t="s">
        <v>60</v>
      </c>
      <c r="AL102" s="23">
        <v>63.800000000000004</v>
      </c>
      <c r="AM102" s="23">
        <f t="shared" si="171"/>
        <v>73.65460837876617</v>
      </c>
      <c r="AN102" s="155">
        <f t="shared" si="172"/>
        <v>1.1544609463756452</v>
      </c>
      <c r="AO102" s="62">
        <v>616308</v>
      </c>
      <c r="AP102" s="62">
        <v>616208.89</v>
      </c>
      <c r="AQ102" s="155">
        <f t="shared" si="173"/>
        <v>0.99983918754908263</v>
      </c>
      <c r="AR102" s="168" t="s">
        <v>59</v>
      </c>
      <c r="AS102" s="168" t="s">
        <v>59</v>
      </c>
      <c r="AT102" s="168" t="s">
        <v>59</v>
      </c>
      <c r="AU102" s="168" t="s">
        <v>59</v>
      </c>
      <c r="AV102" s="168" t="s">
        <v>59</v>
      </c>
      <c r="AW102" s="168" t="s">
        <v>59</v>
      </c>
      <c r="AX102" s="62">
        <v>616308</v>
      </c>
      <c r="AY102" s="62">
        <v>616208.89</v>
      </c>
      <c r="AZ102" s="155">
        <f t="shared" si="175"/>
        <v>0.99983918754908263</v>
      </c>
    </row>
    <row r="103" spans="1:52" x14ac:dyDescent="0.25">
      <c r="B103" s="57" t="s">
        <v>223</v>
      </c>
      <c r="C103" s="19" t="s">
        <v>221</v>
      </c>
      <c r="D103" s="170">
        <v>44562</v>
      </c>
      <c r="E103" s="170">
        <v>44592</v>
      </c>
      <c r="F103" s="57" t="s">
        <v>111</v>
      </c>
      <c r="G103" s="171" t="s">
        <v>224</v>
      </c>
      <c r="H103" s="168" t="s">
        <v>197</v>
      </c>
      <c r="I103" s="19" t="s">
        <v>214</v>
      </c>
      <c r="J103" s="19" t="s">
        <v>215</v>
      </c>
      <c r="K103" s="19" t="s">
        <v>223</v>
      </c>
      <c r="L103" s="169">
        <v>1000000</v>
      </c>
      <c r="M103" s="137">
        <v>0.7</v>
      </c>
      <c r="N103" s="137">
        <f t="shared" si="140"/>
        <v>0.64554299999999998</v>
      </c>
      <c r="O103" s="155">
        <f t="shared" si="160"/>
        <v>0.9222042857142857</v>
      </c>
      <c r="P103" s="62">
        <v>700000</v>
      </c>
      <c r="Q103" s="62">
        <v>645543</v>
      </c>
      <c r="R103" s="155">
        <f t="shared" si="161"/>
        <v>0.9222042857142857</v>
      </c>
      <c r="S103" s="60">
        <v>6</v>
      </c>
      <c r="T103" s="127">
        <f t="shared" si="162"/>
        <v>6.1511920971956942</v>
      </c>
      <c r="U103" s="155">
        <f t="shared" si="163"/>
        <v>1.025198682865949</v>
      </c>
      <c r="V103" s="62">
        <v>4200000</v>
      </c>
      <c r="W103" s="62">
        <v>3970859</v>
      </c>
      <c r="X103" s="155">
        <f t="shared" si="164"/>
        <v>0.94544261904761906</v>
      </c>
      <c r="Y103" s="62">
        <v>23100</v>
      </c>
      <c r="Z103" s="62">
        <v>22458</v>
      </c>
      <c r="AA103" s="155">
        <f t="shared" si="165"/>
        <v>0.97220779220779219</v>
      </c>
      <c r="AB103" s="149">
        <v>5.4999999999999997E-3</v>
      </c>
      <c r="AC103" s="149">
        <f t="shared" si="166"/>
        <v>5.6557032118239401E-3</v>
      </c>
      <c r="AD103" s="155">
        <f t="shared" si="167"/>
        <v>1.0283096748770801</v>
      </c>
      <c r="AE103" s="62">
        <v>2100000</v>
      </c>
      <c r="AF103" s="62">
        <v>163485</v>
      </c>
      <c r="AG103" s="155">
        <f t="shared" si="168"/>
        <v>7.7850000000000003E-2</v>
      </c>
      <c r="AH103" s="137">
        <v>0.5</v>
      </c>
      <c r="AI103" s="137">
        <f t="shared" si="169"/>
        <v>4.1171192429648097E-2</v>
      </c>
      <c r="AJ103" s="155">
        <f t="shared" si="170"/>
        <v>8.2342384859296194E-2</v>
      </c>
      <c r="AK103" s="132" t="s">
        <v>60</v>
      </c>
      <c r="AL103" s="23">
        <v>64.900000000000006</v>
      </c>
      <c r="AM103" s="23">
        <f t="shared" si="171"/>
        <v>68.632756791414664</v>
      </c>
      <c r="AN103" s="155">
        <f t="shared" si="172"/>
        <v>1.0575155129647866</v>
      </c>
      <c r="AO103" s="62">
        <v>272580</v>
      </c>
      <c r="AP103" s="62">
        <v>272531</v>
      </c>
      <c r="AQ103" s="155">
        <f t="shared" si="173"/>
        <v>0.99982023626091421</v>
      </c>
      <c r="AR103" s="168" t="s">
        <v>59</v>
      </c>
      <c r="AS103" s="168" t="s">
        <v>59</v>
      </c>
      <c r="AT103" s="168" t="s">
        <v>59</v>
      </c>
      <c r="AU103" s="168" t="s">
        <v>59</v>
      </c>
      <c r="AV103" s="168" t="s">
        <v>59</v>
      </c>
      <c r="AW103" s="168" t="s">
        <v>59</v>
      </c>
      <c r="AX103" s="62">
        <v>272580</v>
      </c>
      <c r="AY103" s="62">
        <v>272531</v>
      </c>
      <c r="AZ103" s="155">
        <f t="shared" si="175"/>
        <v>0.99982023626091421</v>
      </c>
    </row>
    <row r="104" spans="1:52" x14ac:dyDescent="0.25">
      <c r="B104" s="57" t="s">
        <v>223</v>
      </c>
      <c r="C104" s="19" t="s">
        <v>221</v>
      </c>
      <c r="D104" s="170">
        <v>44562</v>
      </c>
      <c r="E104" s="170">
        <v>44592</v>
      </c>
      <c r="F104" s="57" t="s">
        <v>111</v>
      </c>
      <c r="G104" s="171" t="s">
        <v>224</v>
      </c>
      <c r="H104" s="168" t="s">
        <v>198</v>
      </c>
      <c r="I104" s="19" t="s">
        <v>214</v>
      </c>
      <c r="J104" s="19" t="s">
        <v>215</v>
      </c>
      <c r="K104" s="19" t="s">
        <v>223</v>
      </c>
      <c r="L104" s="169">
        <v>1900000</v>
      </c>
      <c r="M104" s="137">
        <v>0.7</v>
      </c>
      <c r="N104" s="137">
        <f t="shared" si="140"/>
        <v>0.61984315789473687</v>
      </c>
      <c r="O104" s="155">
        <f t="shared" si="160"/>
        <v>0.88549022556390988</v>
      </c>
      <c r="P104" s="62">
        <v>1330000</v>
      </c>
      <c r="Q104" s="62">
        <v>1177702</v>
      </c>
      <c r="R104" s="155">
        <f t="shared" si="161"/>
        <v>0.88549022556390977</v>
      </c>
      <c r="S104" s="60">
        <v>6</v>
      </c>
      <c r="T104" s="127">
        <f t="shared" si="162"/>
        <v>5.7659985293393401</v>
      </c>
      <c r="U104" s="155">
        <f t="shared" si="163"/>
        <v>0.96099975488988998</v>
      </c>
      <c r="V104" s="62">
        <v>7980000</v>
      </c>
      <c r="W104" s="62">
        <v>6790628</v>
      </c>
      <c r="X104" s="155">
        <f t="shared" si="164"/>
        <v>0.8509558897243108</v>
      </c>
      <c r="Y104" s="62">
        <v>43890</v>
      </c>
      <c r="Z104" s="62">
        <v>41218</v>
      </c>
      <c r="AA104" s="155">
        <f t="shared" si="165"/>
        <v>0.9391205285942128</v>
      </c>
      <c r="AB104" s="149">
        <v>5.4999999999999997E-3</v>
      </c>
      <c r="AC104" s="149">
        <f t="shared" si="166"/>
        <v>6.0698362507856417E-3</v>
      </c>
      <c r="AD104" s="155">
        <f t="shared" si="167"/>
        <v>1.1036065910519348</v>
      </c>
      <c r="AE104" s="62">
        <v>3990000</v>
      </c>
      <c r="AF104" s="62">
        <v>280303</v>
      </c>
      <c r="AG104" s="155">
        <f t="shared" si="168"/>
        <v>7.0251378446115287E-2</v>
      </c>
      <c r="AH104" s="137">
        <v>0.5</v>
      </c>
      <c r="AI104" s="137">
        <f t="shared" si="169"/>
        <v>4.1277920098111695E-2</v>
      </c>
      <c r="AJ104" s="155">
        <f t="shared" si="170"/>
        <v>8.255584019622339E-2</v>
      </c>
      <c r="AK104" s="132" t="s">
        <v>60</v>
      </c>
      <c r="AL104" s="23">
        <v>36.300000000000004</v>
      </c>
      <c r="AM104" s="23">
        <f t="shared" si="171"/>
        <v>42.646504859344375</v>
      </c>
      <c r="AN104" s="155">
        <f t="shared" si="172"/>
        <v>1.1748348446100378</v>
      </c>
      <c r="AO104" s="62">
        <v>289674.00000000006</v>
      </c>
      <c r="AP104" s="62">
        <v>289596.55</v>
      </c>
      <c r="AQ104" s="155">
        <f t="shared" si="173"/>
        <v>0.99973263047425698</v>
      </c>
      <c r="AR104" s="168" t="s">
        <v>59</v>
      </c>
      <c r="AS104" s="168" t="s">
        <v>59</v>
      </c>
      <c r="AT104" s="168" t="s">
        <v>59</v>
      </c>
      <c r="AU104" s="168" t="s">
        <v>59</v>
      </c>
      <c r="AV104" s="168" t="s">
        <v>59</v>
      </c>
      <c r="AW104" s="168" t="s">
        <v>59</v>
      </c>
      <c r="AX104" s="62">
        <v>289674.00000000006</v>
      </c>
      <c r="AY104" s="62">
        <v>289596.55</v>
      </c>
      <c r="AZ104" s="155">
        <f t="shared" si="175"/>
        <v>0.99973263047425698</v>
      </c>
    </row>
    <row r="105" spans="1:52" x14ac:dyDescent="0.25">
      <c r="B105" s="57" t="s">
        <v>223</v>
      </c>
      <c r="C105" s="19" t="s">
        <v>221</v>
      </c>
      <c r="D105" s="170">
        <v>44562</v>
      </c>
      <c r="E105" s="170">
        <v>44592</v>
      </c>
      <c r="F105" s="57" t="s">
        <v>111</v>
      </c>
      <c r="G105" s="171" t="s">
        <v>224</v>
      </c>
      <c r="H105" s="168" t="s">
        <v>199</v>
      </c>
      <c r="I105" s="19" t="s">
        <v>214</v>
      </c>
      <c r="J105" s="19" t="s">
        <v>215</v>
      </c>
      <c r="K105" s="19" t="s">
        <v>223</v>
      </c>
      <c r="L105" s="169">
        <v>935000</v>
      </c>
      <c r="M105" s="137">
        <v>0.7</v>
      </c>
      <c r="N105" s="137">
        <f t="shared" si="140"/>
        <v>0.57694117647058829</v>
      </c>
      <c r="O105" s="155">
        <f t="shared" si="160"/>
        <v>0.82420168067226907</v>
      </c>
      <c r="P105" s="62">
        <v>654500</v>
      </c>
      <c r="Q105" s="62">
        <v>539440</v>
      </c>
      <c r="R105" s="155">
        <f t="shared" si="161"/>
        <v>0.82420168067226895</v>
      </c>
      <c r="S105" s="60">
        <v>6</v>
      </c>
      <c r="T105" s="127">
        <f t="shared" si="162"/>
        <v>7.0429797567848142</v>
      </c>
      <c r="U105" s="155">
        <f t="shared" si="163"/>
        <v>1.1738299594641357</v>
      </c>
      <c r="V105" s="62">
        <v>3927000</v>
      </c>
      <c r="W105" s="62">
        <v>3799265</v>
      </c>
      <c r="X105" s="155">
        <f t="shared" si="164"/>
        <v>0.96747262541380186</v>
      </c>
      <c r="Y105" s="62">
        <v>21598.5</v>
      </c>
      <c r="Z105" s="62">
        <v>20266</v>
      </c>
      <c r="AA105" s="155">
        <f t="shared" si="165"/>
        <v>0.93830590087274579</v>
      </c>
      <c r="AB105" s="149">
        <v>5.4999999999999997E-3</v>
      </c>
      <c r="AC105" s="149">
        <f t="shared" si="166"/>
        <v>5.334189639311814E-3</v>
      </c>
      <c r="AD105" s="155">
        <f t="shared" si="167"/>
        <v>0.96985266169305717</v>
      </c>
      <c r="AE105" s="62">
        <v>1963500</v>
      </c>
      <c r="AF105" s="62">
        <v>129648</v>
      </c>
      <c r="AG105" s="155">
        <f t="shared" si="168"/>
        <v>6.6029029793735677E-2</v>
      </c>
      <c r="AH105" s="137">
        <v>0.5</v>
      </c>
      <c r="AI105" s="137">
        <f t="shared" si="169"/>
        <v>3.4124495132611177E-2</v>
      </c>
      <c r="AJ105" s="155">
        <f t="shared" si="170"/>
        <v>6.8248990265222353E-2</v>
      </c>
      <c r="AK105" s="132" t="s">
        <v>60</v>
      </c>
      <c r="AL105" s="23">
        <v>72.600000000000009</v>
      </c>
      <c r="AM105" s="23">
        <f t="shared" si="171"/>
        <v>74.889400976241461</v>
      </c>
      <c r="AN105" s="155">
        <f t="shared" si="172"/>
        <v>1.03153444870856</v>
      </c>
      <c r="AO105" s="62">
        <v>285100.20000000007</v>
      </c>
      <c r="AP105" s="62">
        <v>284524.68</v>
      </c>
      <c r="AQ105" s="155">
        <f t="shared" si="173"/>
        <v>0.99798134129684901</v>
      </c>
      <c r="AR105" s="168" t="s">
        <v>59</v>
      </c>
      <c r="AS105" s="168" t="s">
        <v>59</v>
      </c>
      <c r="AT105" s="168" t="s">
        <v>59</v>
      </c>
      <c r="AU105" s="168" t="s">
        <v>59</v>
      </c>
      <c r="AV105" s="168" t="s">
        <v>59</v>
      </c>
      <c r="AW105" s="168" t="s">
        <v>59</v>
      </c>
      <c r="AX105" s="62">
        <v>285100.20000000007</v>
      </c>
      <c r="AY105" s="62">
        <v>284524.68</v>
      </c>
      <c r="AZ105" s="155">
        <f t="shared" si="175"/>
        <v>0.99798134129684901</v>
      </c>
    </row>
    <row r="106" spans="1:52" x14ac:dyDescent="0.25">
      <c r="B106" s="57" t="s">
        <v>223</v>
      </c>
      <c r="C106" s="19" t="s">
        <v>221</v>
      </c>
      <c r="D106" s="170">
        <v>44562</v>
      </c>
      <c r="E106" s="170">
        <v>44592</v>
      </c>
      <c r="F106" s="57" t="s">
        <v>111</v>
      </c>
      <c r="G106" s="171" t="s">
        <v>224</v>
      </c>
      <c r="H106" s="168" t="s">
        <v>200</v>
      </c>
      <c r="I106" s="19" t="s">
        <v>214</v>
      </c>
      <c r="J106" s="19" t="s">
        <v>215</v>
      </c>
      <c r="K106" s="19" t="s">
        <v>223</v>
      </c>
      <c r="L106" s="169">
        <v>676000</v>
      </c>
      <c r="M106" s="137">
        <v>0.7</v>
      </c>
      <c r="N106" s="137">
        <f t="shared" si="140"/>
        <v>0.62684319526627219</v>
      </c>
      <c r="O106" s="155">
        <f t="shared" si="160"/>
        <v>0.89549027895181743</v>
      </c>
      <c r="P106" s="62">
        <v>473199.99999999994</v>
      </c>
      <c r="Q106" s="62">
        <v>423746</v>
      </c>
      <c r="R106" s="155">
        <f t="shared" si="161"/>
        <v>0.89549027895181754</v>
      </c>
      <c r="S106" s="60">
        <v>6</v>
      </c>
      <c r="T106" s="127">
        <f t="shared" si="162"/>
        <v>7.1198972969656351</v>
      </c>
      <c r="U106" s="155">
        <f t="shared" si="163"/>
        <v>1.1866495494942726</v>
      </c>
      <c r="V106" s="62">
        <v>2839199.9999999995</v>
      </c>
      <c r="W106" s="62">
        <v>3017028</v>
      </c>
      <c r="X106" s="155">
        <f t="shared" si="164"/>
        <v>1.0626331360946748</v>
      </c>
      <c r="Y106" s="62">
        <v>15615.599999999997</v>
      </c>
      <c r="Z106" s="62">
        <v>17936</v>
      </c>
      <c r="AA106" s="155">
        <f t="shared" si="165"/>
        <v>1.1485949947488412</v>
      </c>
      <c r="AB106" s="149">
        <v>5.4999999999999997E-3</v>
      </c>
      <c r="AC106" s="149">
        <f t="shared" si="166"/>
        <v>5.9449232821173681E-3</v>
      </c>
      <c r="AD106" s="155">
        <f t="shared" si="167"/>
        <v>1.0808951422031579</v>
      </c>
      <c r="AE106" s="62">
        <v>1419599.9999999998</v>
      </c>
      <c r="AF106" s="62">
        <v>130471</v>
      </c>
      <c r="AG106" s="155">
        <f t="shared" si="168"/>
        <v>9.1906875176105962E-2</v>
      </c>
      <c r="AH106" s="137">
        <v>0.5</v>
      </c>
      <c r="AI106" s="137">
        <f t="shared" si="169"/>
        <v>4.3244875420446874E-2</v>
      </c>
      <c r="AJ106" s="155">
        <f t="shared" si="170"/>
        <v>8.6489750840893748E-2</v>
      </c>
      <c r="AK106" s="132" t="s">
        <v>60</v>
      </c>
      <c r="AL106" s="23">
        <v>95.7</v>
      </c>
      <c r="AM106" s="23">
        <f t="shared" si="171"/>
        <v>90.046847427335777</v>
      </c>
      <c r="AN106" s="155">
        <f t="shared" si="172"/>
        <v>0.9409283952699663</v>
      </c>
      <c r="AO106" s="62">
        <v>271711.43999999994</v>
      </c>
      <c r="AP106" s="62">
        <v>271673.86</v>
      </c>
      <c r="AQ106" s="155">
        <f t="shared" si="173"/>
        <v>0.99986169150625404</v>
      </c>
      <c r="AR106" s="168" t="s">
        <v>59</v>
      </c>
      <c r="AS106" s="168" t="s">
        <v>59</v>
      </c>
      <c r="AT106" s="168" t="s">
        <v>59</v>
      </c>
      <c r="AU106" s="168" t="s">
        <v>59</v>
      </c>
      <c r="AV106" s="168" t="s">
        <v>59</v>
      </c>
      <c r="AW106" s="168" t="s">
        <v>59</v>
      </c>
      <c r="AX106" s="62">
        <v>271711.43999999994</v>
      </c>
      <c r="AY106" s="62">
        <v>271673.86</v>
      </c>
      <c r="AZ106" s="155">
        <f t="shared" si="175"/>
        <v>0.99986169150625404</v>
      </c>
    </row>
    <row r="107" spans="1:52" x14ac:dyDescent="0.25">
      <c r="B107" s="57" t="s">
        <v>225</v>
      </c>
      <c r="C107" s="19" t="s">
        <v>221</v>
      </c>
      <c r="D107" s="170">
        <v>44562</v>
      </c>
      <c r="E107" s="170">
        <v>44592</v>
      </c>
      <c r="F107" s="57" t="s">
        <v>111</v>
      </c>
      <c r="G107" s="171" t="s">
        <v>226</v>
      </c>
      <c r="H107" s="168" t="s">
        <v>202</v>
      </c>
      <c r="I107" s="19" t="s">
        <v>214</v>
      </c>
      <c r="J107" s="19" t="s">
        <v>215</v>
      </c>
      <c r="K107" s="19" t="s">
        <v>227</v>
      </c>
      <c r="L107" s="169">
        <v>3000000</v>
      </c>
      <c r="M107" s="137">
        <v>0.7</v>
      </c>
      <c r="N107" s="137">
        <f t="shared" si="140"/>
        <v>0.57515866666666671</v>
      </c>
      <c r="O107" s="155">
        <f t="shared" si="160"/>
        <v>0.82165523809523822</v>
      </c>
      <c r="P107" s="62">
        <v>2100000</v>
      </c>
      <c r="Q107" s="62">
        <v>1725476</v>
      </c>
      <c r="R107" s="155">
        <f t="shared" si="161"/>
        <v>0.82165523809523811</v>
      </c>
      <c r="S107" s="60">
        <v>6</v>
      </c>
      <c r="T107" s="127">
        <f t="shared" si="162"/>
        <v>6.2354550280618222</v>
      </c>
      <c r="U107" s="155">
        <f t="shared" si="163"/>
        <v>1.0392425046769704</v>
      </c>
      <c r="V107" s="62">
        <v>12600000</v>
      </c>
      <c r="W107" s="62">
        <v>10759128</v>
      </c>
      <c r="X107" s="155">
        <f t="shared" si="164"/>
        <v>0.85389904761904767</v>
      </c>
      <c r="Y107" s="62">
        <v>31500</v>
      </c>
      <c r="Z107" s="62">
        <v>37446</v>
      </c>
      <c r="AA107" s="155">
        <f t="shared" si="165"/>
        <v>1.1887619047619047</v>
      </c>
      <c r="AB107" s="149">
        <v>2.5000000000000001E-3</v>
      </c>
      <c r="AC107" s="149">
        <f t="shared" si="166"/>
        <v>3.4803935783643434E-3</v>
      </c>
      <c r="AD107" s="155">
        <f t="shared" si="167"/>
        <v>1.3921574313457374</v>
      </c>
      <c r="AE107" s="62">
        <v>6300000</v>
      </c>
      <c r="AF107" s="62">
        <v>334215</v>
      </c>
      <c r="AG107" s="155">
        <f t="shared" si="168"/>
        <v>5.305E-2</v>
      </c>
      <c r="AH107" s="137">
        <v>0.5</v>
      </c>
      <c r="AI107" s="137">
        <f t="shared" si="169"/>
        <v>3.1063391010870026E-2</v>
      </c>
      <c r="AJ107" s="155">
        <f t="shared" si="170"/>
        <v>6.2126782021740053E-2</v>
      </c>
      <c r="AK107" s="132" t="s">
        <v>60</v>
      </c>
      <c r="AL107" s="23">
        <v>38.5</v>
      </c>
      <c r="AM107" s="23">
        <f t="shared" si="171"/>
        <v>45.073028223105069</v>
      </c>
      <c r="AN107" s="155">
        <f t="shared" si="172"/>
        <v>1.170728005794937</v>
      </c>
      <c r="AO107" s="62">
        <v>485100</v>
      </c>
      <c r="AP107" s="62">
        <v>484946.48</v>
      </c>
      <c r="AQ107" s="155">
        <f t="shared" si="173"/>
        <v>0.99968352916924341</v>
      </c>
      <c r="AR107" s="168" t="s">
        <v>59</v>
      </c>
      <c r="AS107" s="168" t="s">
        <v>59</v>
      </c>
      <c r="AT107" s="168" t="s">
        <v>59</v>
      </c>
      <c r="AU107" s="168" t="s">
        <v>59</v>
      </c>
      <c r="AV107" s="168" t="s">
        <v>59</v>
      </c>
      <c r="AW107" s="168" t="s">
        <v>59</v>
      </c>
      <c r="AX107" s="62">
        <v>485100</v>
      </c>
      <c r="AY107" s="62">
        <f>AP107</f>
        <v>484946.48</v>
      </c>
      <c r="AZ107" s="155">
        <f t="shared" si="175"/>
        <v>0.99968352916924341</v>
      </c>
    </row>
    <row r="108" spans="1:52" x14ac:dyDescent="0.25">
      <c r="B108" s="57" t="s">
        <v>225</v>
      </c>
      <c r="C108" s="19" t="s">
        <v>221</v>
      </c>
      <c r="D108" s="170">
        <v>44562</v>
      </c>
      <c r="E108" s="170">
        <v>44592</v>
      </c>
      <c r="F108" s="57" t="s">
        <v>111</v>
      </c>
      <c r="G108" s="171" t="s">
        <v>226</v>
      </c>
      <c r="H108" s="168" t="s">
        <v>203</v>
      </c>
      <c r="I108" s="19" t="s">
        <v>214</v>
      </c>
      <c r="J108" s="19" t="s">
        <v>215</v>
      </c>
      <c r="K108" s="19" t="s">
        <v>227</v>
      </c>
      <c r="L108" s="169">
        <v>4700000</v>
      </c>
      <c r="M108" s="137">
        <v>0.7</v>
      </c>
      <c r="N108" s="137">
        <f t="shared" si="140"/>
        <v>0.53908</v>
      </c>
      <c r="O108" s="155">
        <f t="shared" si="160"/>
        <v>0.77011428571428575</v>
      </c>
      <c r="P108" s="62">
        <v>3290000</v>
      </c>
      <c r="Q108" s="62">
        <v>2533676</v>
      </c>
      <c r="R108" s="155">
        <f t="shared" si="161"/>
        <v>0.77011428571428575</v>
      </c>
      <c r="S108" s="60">
        <v>6</v>
      </c>
      <c r="T108" s="127">
        <f t="shared" si="162"/>
        <v>6.0801258724477796</v>
      </c>
      <c r="U108" s="155">
        <f t="shared" si="163"/>
        <v>1.01335431207463</v>
      </c>
      <c r="V108" s="62">
        <v>19740000</v>
      </c>
      <c r="W108" s="62">
        <v>15405069</v>
      </c>
      <c r="X108" s="155">
        <f t="shared" si="164"/>
        <v>0.78039863221884498</v>
      </c>
      <c r="Y108" s="62">
        <v>49350</v>
      </c>
      <c r="Z108" s="62">
        <v>43929</v>
      </c>
      <c r="AA108" s="155">
        <f t="shared" si="165"/>
        <v>0.8901519756838906</v>
      </c>
      <c r="AB108" s="149">
        <v>2.5000000000000001E-3</v>
      </c>
      <c r="AC108" s="149">
        <f t="shared" si="166"/>
        <v>2.8515938487519918E-3</v>
      </c>
      <c r="AD108" s="155">
        <f t="shared" si="167"/>
        <v>1.1406375395007966</v>
      </c>
      <c r="AE108" s="62">
        <v>9870000</v>
      </c>
      <c r="AF108" s="62">
        <v>475895</v>
      </c>
      <c r="AG108" s="155">
        <f t="shared" si="168"/>
        <v>4.8216312056737591E-2</v>
      </c>
      <c r="AH108" s="137">
        <v>0.5</v>
      </c>
      <c r="AI108" s="137">
        <f t="shared" si="169"/>
        <v>3.0892104410567715E-2</v>
      </c>
      <c r="AJ108" s="155">
        <f t="shared" si="170"/>
        <v>6.1784208821135431E-2</v>
      </c>
      <c r="AK108" s="132" t="s">
        <v>60</v>
      </c>
      <c r="AL108" s="23">
        <v>30.800000000000004</v>
      </c>
      <c r="AM108" s="23">
        <f t="shared" si="171"/>
        <v>39.455523373507773</v>
      </c>
      <c r="AN108" s="155">
        <f t="shared" si="172"/>
        <v>1.2810234861528496</v>
      </c>
      <c r="AO108" s="62">
        <v>607992.00000000012</v>
      </c>
      <c r="AP108" s="62">
        <v>607815.06000000006</v>
      </c>
      <c r="AQ108" s="155">
        <f t="shared" si="173"/>
        <v>0.99970897643390033</v>
      </c>
      <c r="AR108" s="168" t="s">
        <v>59</v>
      </c>
      <c r="AS108" s="168" t="s">
        <v>59</v>
      </c>
      <c r="AT108" s="168" t="s">
        <v>59</v>
      </c>
      <c r="AU108" s="168" t="s">
        <v>59</v>
      </c>
      <c r="AV108" s="168" t="s">
        <v>59</v>
      </c>
      <c r="AW108" s="168" t="s">
        <v>59</v>
      </c>
      <c r="AX108" s="62">
        <v>607992.00000000012</v>
      </c>
      <c r="AY108" s="62">
        <f t="shared" ref="AY108:AY111" si="177">AP108</f>
        <v>607815.06000000006</v>
      </c>
      <c r="AZ108" s="155">
        <f t="shared" si="175"/>
        <v>0.99970897643390033</v>
      </c>
    </row>
    <row r="109" spans="1:52" x14ac:dyDescent="0.25">
      <c r="B109" s="57" t="s">
        <v>225</v>
      </c>
      <c r="C109" s="19" t="s">
        <v>221</v>
      </c>
      <c r="D109" s="170">
        <v>44562</v>
      </c>
      <c r="E109" s="170">
        <v>44592</v>
      </c>
      <c r="F109" s="57" t="s">
        <v>111</v>
      </c>
      <c r="G109" s="171" t="s">
        <v>226</v>
      </c>
      <c r="H109" s="168" t="s">
        <v>206</v>
      </c>
      <c r="I109" s="19" t="s">
        <v>214</v>
      </c>
      <c r="J109" s="19" t="s">
        <v>215</v>
      </c>
      <c r="K109" s="19" t="s">
        <v>227</v>
      </c>
      <c r="L109" s="169">
        <v>1100000</v>
      </c>
      <c r="M109" s="137">
        <v>0.7</v>
      </c>
      <c r="N109" s="137">
        <f t="shared" si="140"/>
        <v>0.55380181818181817</v>
      </c>
      <c r="O109" s="155">
        <f t="shared" si="160"/>
        <v>0.7911454545454546</v>
      </c>
      <c r="P109" s="62">
        <v>770000</v>
      </c>
      <c r="Q109" s="62">
        <v>609182</v>
      </c>
      <c r="R109" s="155">
        <f t="shared" si="161"/>
        <v>0.7911454545454546</v>
      </c>
      <c r="S109" s="60">
        <v>6</v>
      </c>
      <c r="T109" s="127">
        <f t="shared" si="162"/>
        <v>5.9161301548634073</v>
      </c>
      <c r="U109" s="155">
        <f t="shared" si="163"/>
        <v>0.98602169247723459</v>
      </c>
      <c r="V109" s="62">
        <v>4620000</v>
      </c>
      <c r="W109" s="62">
        <v>3604000</v>
      </c>
      <c r="X109" s="155">
        <f t="shared" si="164"/>
        <v>0.78008658008658005</v>
      </c>
      <c r="Y109" s="62">
        <v>11550</v>
      </c>
      <c r="Z109" s="62">
        <v>13400</v>
      </c>
      <c r="AA109" s="155">
        <f t="shared" si="165"/>
        <v>1.1601731601731602</v>
      </c>
      <c r="AB109" s="149">
        <v>2.5000000000000001E-3</v>
      </c>
      <c r="AC109" s="149">
        <f t="shared" si="166"/>
        <v>3.7180910099889014E-3</v>
      </c>
      <c r="AD109" s="155">
        <f t="shared" si="167"/>
        <v>1.4872364039955606</v>
      </c>
      <c r="AE109" s="62">
        <v>2310000</v>
      </c>
      <c r="AF109" s="62">
        <v>117765</v>
      </c>
      <c r="AG109" s="155">
        <f t="shared" si="168"/>
        <v>5.098051948051948E-2</v>
      </c>
      <c r="AH109" s="137">
        <v>0.5</v>
      </c>
      <c r="AI109" s="137">
        <f t="shared" si="169"/>
        <v>3.2676193118756934E-2</v>
      </c>
      <c r="AJ109" s="155">
        <f t="shared" si="170"/>
        <v>6.5352386237513868E-2</v>
      </c>
      <c r="AK109" s="132" t="s">
        <v>60</v>
      </c>
      <c r="AL109" s="23">
        <v>31.900000000000002</v>
      </c>
      <c r="AM109" s="23">
        <f t="shared" si="171"/>
        <v>40.884311875693669</v>
      </c>
      <c r="AN109" s="155">
        <f t="shared" si="172"/>
        <v>1.2816398707114003</v>
      </c>
      <c r="AO109" s="62">
        <v>147378</v>
      </c>
      <c r="AP109" s="62">
        <v>147347.06</v>
      </c>
      <c r="AQ109" s="155">
        <f t="shared" si="173"/>
        <v>0.99979006364586298</v>
      </c>
      <c r="AR109" s="168" t="s">
        <v>59</v>
      </c>
      <c r="AS109" s="168" t="s">
        <v>59</v>
      </c>
      <c r="AT109" s="168" t="s">
        <v>59</v>
      </c>
      <c r="AU109" s="168" t="s">
        <v>59</v>
      </c>
      <c r="AV109" s="168" t="s">
        <v>59</v>
      </c>
      <c r="AW109" s="168" t="s">
        <v>59</v>
      </c>
      <c r="AX109" s="62">
        <v>147378</v>
      </c>
      <c r="AY109" s="62">
        <f t="shared" si="177"/>
        <v>147347.06</v>
      </c>
      <c r="AZ109" s="155">
        <f t="shared" si="175"/>
        <v>0.99979006364586298</v>
      </c>
    </row>
    <row r="110" spans="1:52" x14ac:dyDescent="0.25">
      <c r="B110" s="57" t="s">
        <v>225</v>
      </c>
      <c r="C110" s="19" t="s">
        <v>221</v>
      </c>
      <c r="D110" s="170">
        <v>44562</v>
      </c>
      <c r="E110" s="170">
        <v>44592</v>
      </c>
      <c r="F110" s="57" t="s">
        <v>111</v>
      </c>
      <c r="G110" s="171" t="s">
        <v>226</v>
      </c>
      <c r="H110" s="168" t="s">
        <v>205</v>
      </c>
      <c r="I110" s="19" t="s">
        <v>214</v>
      </c>
      <c r="J110" s="19" t="s">
        <v>215</v>
      </c>
      <c r="K110" s="19" t="s">
        <v>227</v>
      </c>
      <c r="L110" s="169">
        <v>2100000</v>
      </c>
      <c r="M110" s="137">
        <v>0.7</v>
      </c>
      <c r="N110" s="137">
        <f t="shared" si="140"/>
        <v>0.42495095238095237</v>
      </c>
      <c r="O110" s="155">
        <f t="shared" si="160"/>
        <v>0.60707278911564633</v>
      </c>
      <c r="P110" s="62">
        <v>1470000</v>
      </c>
      <c r="Q110" s="62">
        <v>892397</v>
      </c>
      <c r="R110" s="155">
        <f t="shared" si="161"/>
        <v>0.60707278911564622</v>
      </c>
      <c r="S110" s="60">
        <v>6</v>
      </c>
      <c r="T110" s="127">
        <f t="shared" si="162"/>
        <v>6.4011779510688624</v>
      </c>
      <c r="U110" s="155">
        <f t="shared" si="163"/>
        <v>1.0668629918448105</v>
      </c>
      <c r="V110" s="62">
        <v>8820000</v>
      </c>
      <c r="W110" s="62">
        <v>5712392</v>
      </c>
      <c r="X110" s="155">
        <f t="shared" si="164"/>
        <v>0.64766349206349205</v>
      </c>
      <c r="Y110" s="62">
        <v>22050</v>
      </c>
      <c r="Z110" s="62">
        <v>18728</v>
      </c>
      <c r="AA110" s="155">
        <f t="shared" si="165"/>
        <v>0.84934240362811786</v>
      </c>
      <c r="AB110" s="149">
        <v>2.5000000000000001E-3</v>
      </c>
      <c r="AC110" s="149">
        <f t="shared" si="166"/>
        <v>3.278486490422926E-3</v>
      </c>
      <c r="AD110" s="155">
        <f t="shared" si="167"/>
        <v>1.3113945961691704</v>
      </c>
      <c r="AE110" s="62">
        <v>4410000</v>
      </c>
      <c r="AF110" s="62">
        <v>158979</v>
      </c>
      <c r="AG110" s="155">
        <f t="shared" si="168"/>
        <v>3.604965986394558E-2</v>
      </c>
      <c r="AH110" s="137">
        <v>0.5</v>
      </c>
      <c r="AI110" s="137">
        <f t="shared" si="169"/>
        <v>2.7830548043621655E-2</v>
      </c>
      <c r="AJ110" s="155">
        <f t="shared" si="170"/>
        <v>5.566109608724331E-2</v>
      </c>
      <c r="AK110" s="132" t="s">
        <v>60</v>
      </c>
      <c r="AL110" s="23">
        <v>40.700000000000003</v>
      </c>
      <c r="AM110" s="23">
        <f t="shared" si="171"/>
        <v>62.769170953253905</v>
      </c>
      <c r="AN110" s="155">
        <f t="shared" si="172"/>
        <v>1.5422400725615208</v>
      </c>
      <c r="AO110" s="62">
        <v>358974</v>
      </c>
      <c r="AP110" s="62">
        <v>358562.11</v>
      </c>
      <c r="AQ110" s="155">
        <f t="shared" si="173"/>
        <v>0.9988525909954481</v>
      </c>
      <c r="AR110" s="168" t="s">
        <v>59</v>
      </c>
      <c r="AS110" s="168" t="s">
        <v>59</v>
      </c>
      <c r="AT110" s="168" t="s">
        <v>59</v>
      </c>
      <c r="AU110" s="168" t="s">
        <v>59</v>
      </c>
      <c r="AV110" s="168" t="s">
        <v>59</v>
      </c>
      <c r="AW110" s="168" t="s">
        <v>59</v>
      </c>
      <c r="AX110" s="62">
        <v>358974</v>
      </c>
      <c r="AY110" s="62">
        <f t="shared" si="177"/>
        <v>358562.11</v>
      </c>
      <c r="AZ110" s="155">
        <f t="shared" si="175"/>
        <v>0.9988525909954481</v>
      </c>
    </row>
    <row r="111" spans="1:52" x14ac:dyDescent="0.25">
      <c r="B111" s="57" t="s">
        <v>225</v>
      </c>
      <c r="C111" s="19" t="s">
        <v>221</v>
      </c>
      <c r="D111" s="170">
        <v>44562</v>
      </c>
      <c r="E111" s="170">
        <v>44592</v>
      </c>
      <c r="F111" s="57" t="s">
        <v>111</v>
      </c>
      <c r="G111" s="171" t="s">
        <v>226</v>
      </c>
      <c r="H111" s="168" t="s">
        <v>204</v>
      </c>
      <c r="I111" s="19" t="s">
        <v>214</v>
      </c>
      <c r="J111" s="19" t="s">
        <v>215</v>
      </c>
      <c r="K111" s="19" t="s">
        <v>227</v>
      </c>
      <c r="L111" s="169">
        <v>1100000</v>
      </c>
      <c r="M111" s="137">
        <v>0.7</v>
      </c>
      <c r="N111" s="137">
        <f t="shared" si="140"/>
        <v>0.59733727272727277</v>
      </c>
      <c r="O111" s="155">
        <f t="shared" si="160"/>
        <v>0.85333896103896112</v>
      </c>
      <c r="P111" s="62">
        <v>770000</v>
      </c>
      <c r="Q111" s="62">
        <v>657071</v>
      </c>
      <c r="R111" s="155">
        <f t="shared" si="161"/>
        <v>0.85333896103896101</v>
      </c>
      <c r="S111" s="60">
        <v>6</v>
      </c>
      <c r="T111" s="127">
        <f t="shared" si="162"/>
        <v>6.6861922075392153</v>
      </c>
      <c r="U111" s="155">
        <f t="shared" si="163"/>
        <v>1.1143653679232026</v>
      </c>
      <c r="V111" s="62">
        <v>4620000</v>
      </c>
      <c r="W111" s="62">
        <v>4393303</v>
      </c>
      <c r="X111" s="155">
        <f t="shared" si="164"/>
        <v>0.95093138528138532</v>
      </c>
      <c r="Y111" s="62">
        <v>11550</v>
      </c>
      <c r="Z111" s="62">
        <v>15803</v>
      </c>
      <c r="AA111" s="155">
        <f t="shared" si="165"/>
        <v>1.3682251082251082</v>
      </c>
      <c r="AB111" s="149">
        <v>2.5000000000000001E-3</v>
      </c>
      <c r="AC111" s="149">
        <f t="shared" si="166"/>
        <v>3.5970658067517765E-3</v>
      </c>
      <c r="AD111" s="155">
        <f t="shared" si="167"/>
        <v>1.4388263227007105</v>
      </c>
      <c r="AE111" s="62">
        <v>2310000</v>
      </c>
      <c r="AF111" s="62">
        <v>141892</v>
      </c>
      <c r="AG111" s="155">
        <f t="shared" si="168"/>
        <v>6.1425108225108223E-2</v>
      </c>
      <c r="AH111" s="137">
        <v>0.5</v>
      </c>
      <c r="AI111" s="137">
        <f t="shared" si="169"/>
        <v>3.2297339837475354E-2</v>
      </c>
      <c r="AJ111" s="155">
        <f t="shared" si="170"/>
        <v>6.4594679674950709E-2</v>
      </c>
      <c r="AK111" s="132" t="s">
        <v>60</v>
      </c>
      <c r="AL111" s="23">
        <v>27.500000000000004</v>
      </c>
      <c r="AM111" s="23">
        <f t="shared" si="171"/>
        <v>28.896258691922682</v>
      </c>
      <c r="AN111" s="155">
        <f t="shared" si="172"/>
        <v>1.0507730433426428</v>
      </c>
      <c r="AO111" s="62">
        <v>127050.00000000001</v>
      </c>
      <c r="AP111" s="62">
        <v>126950.02</v>
      </c>
      <c r="AQ111" s="155">
        <f t="shared" si="173"/>
        <v>0.99921306572215651</v>
      </c>
      <c r="AR111" s="168" t="s">
        <v>59</v>
      </c>
      <c r="AS111" s="168" t="s">
        <v>59</v>
      </c>
      <c r="AT111" s="168" t="s">
        <v>59</v>
      </c>
      <c r="AU111" s="168" t="s">
        <v>59</v>
      </c>
      <c r="AV111" s="168" t="s">
        <v>59</v>
      </c>
      <c r="AW111" s="168" t="s">
        <v>59</v>
      </c>
      <c r="AX111" s="62">
        <v>127050.00000000001</v>
      </c>
      <c r="AY111" s="62">
        <f t="shared" si="177"/>
        <v>126950.02</v>
      </c>
      <c r="AZ111" s="155">
        <f t="shared" si="175"/>
        <v>0.99921306572215651</v>
      </c>
    </row>
    <row r="113" spans="2:52" ht="36" x14ac:dyDescent="0.25">
      <c r="B113" s="172" t="s">
        <v>229</v>
      </c>
      <c r="C113" s="105" t="s">
        <v>52</v>
      </c>
      <c r="D113" s="95">
        <v>44562</v>
      </c>
      <c r="E113" s="95">
        <v>44592</v>
      </c>
      <c r="F113" s="173" t="s">
        <v>72</v>
      </c>
      <c r="G113" s="174" t="s">
        <v>230</v>
      </c>
      <c r="H113" s="175" t="s">
        <v>231</v>
      </c>
      <c r="I113" s="174" t="s">
        <v>232</v>
      </c>
      <c r="J113" s="96" t="s">
        <v>233</v>
      </c>
      <c r="K113" s="172" t="s">
        <v>234</v>
      </c>
      <c r="L113" s="172">
        <v>8000000</v>
      </c>
      <c r="M113" s="176">
        <v>0.6</v>
      </c>
      <c r="N113" s="176">
        <f>Q113/L113</f>
        <v>0.48930437500000001</v>
      </c>
      <c r="O113" s="176">
        <f>N113/M113</f>
        <v>0.81550729166666669</v>
      </c>
      <c r="P113" s="103">
        <f>L113*M113</f>
        <v>4800000</v>
      </c>
      <c r="Q113" s="103">
        <v>3914435</v>
      </c>
      <c r="R113" s="63">
        <f>Q113/P113</f>
        <v>0.81550729166666669</v>
      </c>
      <c r="S113" s="103">
        <v>2</v>
      </c>
      <c r="T113" s="103">
        <f>W113/Q113</f>
        <v>2.4430792694220238</v>
      </c>
      <c r="U113" s="63">
        <f>T113/S113</f>
        <v>1.2215396347110119</v>
      </c>
      <c r="V113" s="103">
        <f>P113*S113</f>
        <v>9600000</v>
      </c>
      <c r="W113" s="103">
        <v>9563275</v>
      </c>
      <c r="X113" s="63">
        <f>W113/V113</f>
        <v>0.99617447916666668</v>
      </c>
      <c r="Y113" s="103">
        <f>AB113*V113</f>
        <v>19200</v>
      </c>
      <c r="Z113" s="103">
        <v>15512</v>
      </c>
      <c r="AA113" s="63">
        <f>Z113/Y113</f>
        <v>0.80791666666666662</v>
      </c>
      <c r="AB113" s="177">
        <v>2E-3</v>
      </c>
      <c r="AC113" s="177">
        <f>Z113/W113</f>
        <v>1.6220384753131119E-3</v>
      </c>
      <c r="AD113" s="63">
        <f>AC113/AB113</f>
        <v>0.81101923765655592</v>
      </c>
      <c r="AE113" s="63" t="s">
        <v>59</v>
      </c>
      <c r="AF113" s="63" t="s">
        <v>59</v>
      </c>
      <c r="AG113" s="63" t="s">
        <v>59</v>
      </c>
      <c r="AH113" s="63" t="s">
        <v>59</v>
      </c>
      <c r="AI113" s="63" t="s">
        <v>59</v>
      </c>
      <c r="AJ113" s="63" t="s">
        <v>59</v>
      </c>
      <c r="AK113" s="178" t="s">
        <v>167</v>
      </c>
      <c r="AL113" s="179">
        <v>135</v>
      </c>
      <c r="AM113" s="179">
        <f>AP113/W113*1000</f>
        <v>135</v>
      </c>
      <c r="AN113" s="63">
        <f>AM113/AL113</f>
        <v>1</v>
      </c>
      <c r="AO113" s="179">
        <f>AL113*V113/1000</f>
        <v>1296000</v>
      </c>
      <c r="AP113" s="179">
        <v>1291042.125</v>
      </c>
      <c r="AQ113" s="63">
        <f>AP113/AO113</f>
        <v>0.99617447916666668</v>
      </c>
      <c r="AR113" s="64">
        <f>AU113/AO113</f>
        <v>3.5000000000000003E-2</v>
      </c>
      <c r="AS113" s="64">
        <f>AV113/AP113</f>
        <v>3.4999999999999989E-2</v>
      </c>
      <c r="AT113" s="63">
        <f>AS113/AR113</f>
        <v>0.99999999999999956</v>
      </c>
      <c r="AU113" s="180">
        <f t="shared" ref="AU113:AV117" si="178">AX113-AO113</f>
        <v>45360</v>
      </c>
      <c r="AV113" s="179">
        <f t="shared" si="178"/>
        <v>45186.474374999991</v>
      </c>
      <c r="AW113" s="63">
        <f>AV113/AU113</f>
        <v>0.99617447916666646</v>
      </c>
      <c r="AX113" s="179">
        <f>AO113*103.5%</f>
        <v>1341360</v>
      </c>
      <c r="AY113" s="179">
        <v>1336228.599375</v>
      </c>
      <c r="AZ113" s="63">
        <f>AY113/AX113</f>
        <v>0.99617447916666668</v>
      </c>
    </row>
    <row r="114" spans="2:52" ht="36" x14ac:dyDescent="0.25">
      <c r="B114" s="174" t="s">
        <v>235</v>
      </c>
      <c r="C114" s="105" t="s">
        <v>52</v>
      </c>
      <c r="D114" s="95">
        <v>44562</v>
      </c>
      <c r="E114" s="95">
        <v>44592</v>
      </c>
      <c r="F114" s="173" t="s">
        <v>72</v>
      </c>
      <c r="G114" s="174" t="s">
        <v>230</v>
      </c>
      <c r="H114" s="175" t="s">
        <v>231</v>
      </c>
      <c r="I114" s="174" t="s">
        <v>232</v>
      </c>
      <c r="J114" s="96" t="s">
        <v>233</v>
      </c>
      <c r="K114" s="172" t="s">
        <v>236</v>
      </c>
      <c r="L114" s="174">
        <v>4500000</v>
      </c>
      <c r="M114" s="176">
        <v>0.5</v>
      </c>
      <c r="N114" s="176">
        <f>Q114/L114</f>
        <v>0.30533777777777776</v>
      </c>
      <c r="O114" s="176">
        <f t="shared" ref="O114:O116" si="179">N114/M114</f>
        <v>0.61067555555555553</v>
      </c>
      <c r="P114" s="103">
        <f>L114*M114</f>
        <v>2250000</v>
      </c>
      <c r="Q114" s="103">
        <v>1374020</v>
      </c>
      <c r="R114" s="63">
        <f t="shared" ref="R114:R116" si="180">Q114/P114</f>
        <v>0.61067555555555553</v>
      </c>
      <c r="S114" s="103">
        <v>2</v>
      </c>
      <c r="T114" s="103">
        <f t="shared" ref="T114:T116" si="181">W114/Q114</f>
        <v>3.2551731415845477</v>
      </c>
      <c r="U114" s="63">
        <f t="shared" ref="U114:U116" si="182">T114/S114</f>
        <v>1.6275865707922739</v>
      </c>
      <c r="V114" s="103">
        <f>P114*S114</f>
        <v>4500000</v>
      </c>
      <c r="W114" s="103">
        <v>4472673</v>
      </c>
      <c r="X114" s="63">
        <f t="shared" ref="X114:X116" si="183">W114/V114</f>
        <v>0.99392733333333338</v>
      </c>
      <c r="Y114" s="103">
        <f>AB114*V114</f>
        <v>11250</v>
      </c>
      <c r="Z114" s="103">
        <v>6265</v>
      </c>
      <c r="AA114" s="63">
        <f t="shared" ref="AA114:AA116" si="184">Z114/Y114</f>
        <v>0.55688888888888888</v>
      </c>
      <c r="AB114" s="177">
        <v>2.5000000000000001E-3</v>
      </c>
      <c r="AC114" s="177">
        <f t="shared" ref="AC114:AC116" si="185">Z114/W114</f>
        <v>1.4007283787569537E-3</v>
      </c>
      <c r="AD114" s="63">
        <f t="shared" ref="AD114:AD116" si="186">AC114/AB114</f>
        <v>0.56029135150278142</v>
      </c>
      <c r="AE114" s="63" t="s">
        <v>59</v>
      </c>
      <c r="AF114" s="63" t="s">
        <v>59</v>
      </c>
      <c r="AG114" s="63" t="s">
        <v>59</v>
      </c>
      <c r="AH114" s="63" t="s">
        <v>59</v>
      </c>
      <c r="AI114" s="63" t="s">
        <v>59</v>
      </c>
      <c r="AJ114" s="63" t="s">
        <v>59</v>
      </c>
      <c r="AK114" s="178" t="s">
        <v>167</v>
      </c>
      <c r="AL114" s="179">
        <v>90</v>
      </c>
      <c r="AM114" s="179">
        <f t="shared" ref="AM114:AM116" si="187">AP114/W114*1000</f>
        <v>90</v>
      </c>
      <c r="AN114" s="63">
        <f t="shared" ref="AN114:AN116" si="188">AM114/AL114</f>
        <v>1</v>
      </c>
      <c r="AO114" s="179">
        <f>AL114*V114/1000</f>
        <v>405000</v>
      </c>
      <c r="AP114" s="179">
        <v>402540.57</v>
      </c>
      <c r="AQ114" s="63">
        <f t="shared" ref="AQ114:AQ116" si="189">AP114/AO114</f>
        <v>0.99392733333333338</v>
      </c>
      <c r="AR114" s="64">
        <f t="shared" ref="AR114:AS117" si="190">AU114/AO114</f>
        <v>3.4999999999999858E-2</v>
      </c>
      <c r="AS114" s="64">
        <f t="shared" si="190"/>
        <v>3.5000000000000024E-2</v>
      </c>
      <c r="AT114" s="63">
        <f t="shared" ref="AT114:AT117" si="191">AS114/AR114</f>
        <v>1.0000000000000047</v>
      </c>
      <c r="AU114" s="180">
        <f t="shared" si="178"/>
        <v>14174.999999999942</v>
      </c>
      <c r="AV114" s="179">
        <f t="shared" si="178"/>
        <v>14088.91995000001</v>
      </c>
      <c r="AW114" s="63">
        <f t="shared" ref="AW114:AW117" si="192">AV114/AU114</f>
        <v>0.99392733333333816</v>
      </c>
      <c r="AX114" s="179">
        <f>AO114*103.5%</f>
        <v>419174.99999999994</v>
      </c>
      <c r="AY114" s="179">
        <v>416629.48995000002</v>
      </c>
      <c r="AZ114" s="63">
        <f t="shared" ref="AZ114:AZ116" si="193">AY114/AX114</f>
        <v>0.9939273333333335</v>
      </c>
    </row>
    <row r="115" spans="2:52" ht="36" x14ac:dyDescent="0.25">
      <c r="B115" s="174" t="s">
        <v>237</v>
      </c>
      <c r="C115" s="105" t="s">
        <v>52</v>
      </c>
      <c r="D115" s="95">
        <v>44562</v>
      </c>
      <c r="E115" s="95">
        <v>44592</v>
      </c>
      <c r="F115" s="173" t="s">
        <v>72</v>
      </c>
      <c r="G115" s="174" t="s">
        <v>230</v>
      </c>
      <c r="H115" s="175" t="s">
        <v>231</v>
      </c>
      <c r="I115" s="174" t="s">
        <v>232</v>
      </c>
      <c r="J115" s="96" t="s">
        <v>233</v>
      </c>
      <c r="K115" s="172" t="s">
        <v>236</v>
      </c>
      <c r="L115" s="174">
        <v>3500000</v>
      </c>
      <c r="M115" s="176">
        <v>0.5</v>
      </c>
      <c r="N115" s="176">
        <f>Q115/L115</f>
        <v>0.36186685714285716</v>
      </c>
      <c r="O115" s="176">
        <f t="shared" si="179"/>
        <v>0.72373371428571431</v>
      </c>
      <c r="P115" s="103">
        <f>L115*M115</f>
        <v>1750000</v>
      </c>
      <c r="Q115" s="103">
        <v>1266534</v>
      </c>
      <c r="R115" s="63">
        <f t="shared" si="180"/>
        <v>0.72373371428571431</v>
      </c>
      <c r="S115" s="103">
        <v>2</v>
      </c>
      <c r="T115" s="103">
        <f t="shared" si="181"/>
        <v>2.7593724290070383</v>
      </c>
      <c r="U115" s="63">
        <f t="shared" si="182"/>
        <v>1.3796862145035191</v>
      </c>
      <c r="V115" s="103">
        <f>P115*S115</f>
        <v>3500000</v>
      </c>
      <c r="W115" s="103">
        <v>3494839</v>
      </c>
      <c r="X115" s="63">
        <f t="shared" si="183"/>
        <v>0.99852542857142856</v>
      </c>
      <c r="Y115" s="103">
        <f>AB115*V115</f>
        <v>5250</v>
      </c>
      <c r="Z115" s="103">
        <v>8029</v>
      </c>
      <c r="AA115" s="63">
        <f t="shared" si="184"/>
        <v>1.5293333333333334</v>
      </c>
      <c r="AB115" s="177">
        <v>1.5E-3</v>
      </c>
      <c r="AC115" s="177">
        <f t="shared" si="185"/>
        <v>2.2973876622070428E-3</v>
      </c>
      <c r="AD115" s="63">
        <f t="shared" si="186"/>
        <v>1.5315917748046952</v>
      </c>
      <c r="AE115" s="63" t="s">
        <v>59</v>
      </c>
      <c r="AF115" s="63" t="s">
        <v>59</v>
      </c>
      <c r="AG115" s="63" t="s">
        <v>59</v>
      </c>
      <c r="AH115" s="63" t="s">
        <v>59</v>
      </c>
      <c r="AI115" s="63" t="s">
        <v>59</v>
      </c>
      <c r="AJ115" s="63" t="s">
        <v>59</v>
      </c>
      <c r="AK115" s="178" t="s">
        <v>167</v>
      </c>
      <c r="AL115" s="179">
        <v>150</v>
      </c>
      <c r="AM115" s="179">
        <f t="shared" si="187"/>
        <v>150</v>
      </c>
      <c r="AN115" s="63">
        <f t="shared" si="188"/>
        <v>1</v>
      </c>
      <c r="AO115" s="179">
        <f>AL115*V115/1000</f>
        <v>525000</v>
      </c>
      <c r="AP115" s="179">
        <v>524225.85</v>
      </c>
      <c r="AQ115" s="63">
        <f t="shared" si="189"/>
        <v>0.99852542857142856</v>
      </c>
      <c r="AR115" s="64">
        <f t="shared" si="190"/>
        <v>3.5000000000000003E-2</v>
      </c>
      <c r="AS115" s="64">
        <f t="shared" si="190"/>
        <v>3.4999999999999976E-2</v>
      </c>
      <c r="AT115" s="63">
        <f t="shared" si="191"/>
        <v>0.99999999999999922</v>
      </c>
      <c r="AU115" s="180">
        <f t="shared" si="178"/>
        <v>18375</v>
      </c>
      <c r="AV115" s="179">
        <f t="shared" si="178"/>
        <v>18347.904749999987</v>
      </c>
      <c r="AW115" s="63">
        <f t="shared" si="192"/>
        <v>0.9985254285714279</v>
      </c>
      <c r="AX115" s="179">
        <f>AO115*103.5%</f>
        <v>543375</v>
      </c>
      <c r="AY115" s="179">
        <v>542573.75474999996</v>
      </c>
      <c r="AZ115" s="63">
        <f t="shared" si="193"/>
        <v>0.99852542857142845</v>
      </c>
    </row>
    <row r="116" spans="2:52" ht="36" x14ac:dyDescent="0.25">
      <c r="B116" s="174" t="s">
        <v>238</v>
      </c>
      <c r="C116" s="105" t="s">
        <v>52</v>
      </c>
      <c r="D116" s="95">
        <v>44562</v>
      </c>
      <c r="E116" s="95">
        <v>44592</v>
      </c>
      <c r="F116" s="173" t="s">
        <v>72</v>
      </c>
      <c r="G116" s="174" t="s">
        <v>239</v>
      </c>
      <c r="H116" s="175" t="s">
        <v>240</v>
      </c>
      <c r="I116" s="174" t="s">
        <v>232</v>
      </c>
      <c r="J116" s="96" t="s">
        <v>233</v>
      </c>
      <c r="K116" s="172" t="s">
        <v>236</v>
      </c>
      <c r="L116" s="174">
        <v>1000000</v>
      </c>
      <c r="M116" s="176">
        <v>0.5</v>
      </c>
      <c r="N116" s="181">
        <f>Q116/L116</f>
        <v>8.2199999999999999E-3</v>
      </c>
      <c r="O116" s="181">
        <f t="shared" si="179"/>
        <v>1.644E-2</v>
      </c>
      <c r="P116" s="103">
        <f>L116*M116</f>
        <v>500000</v>
      </c>
      <c r="Q116" s="103">
        <v>8220</v>
      </c>
      <c r="R116" s="63">
        <f t="shared" si="180"/>
        <v>1.644E-2</v>
      </c>
      <c r="S116" s="103">
        <v>3</v>
      </c>
      <c r="T116" s="103">
        <f t="shared" si="181"/>
        <v>9.1807785888077866</v>
      </c>
      <c r="U116" s="63">
        <f t="shared" si="182"/>
        <v>3.0602595296025954</v>
      </c>
      <c r="V116" s="103">
        <f>P116*S116</f>
        <v>1500000</v>
      </c>
      <c r="W116" s="103">
        <v>75466</v>
      </c>
      <c r="X116" s="63">
        <f t="shared" si="183"/>
        <v>5.0310666666666663E-2</v>
      </c>
      <c r="Y116" s="103">
        <f>AB116*V116</f>
        <v>1799.9999999999998</v>
      </c>
      <c r="Z116" s="103">
        <v>186</v>
      </c>
      <c r="AA116" s="63">
        <f t="shared" si="184"/>
        <v>0.10333333333333335</v>
      </c>
      <c r="AB116" s="182">
        <v>1.1999999999999999E-3</v>
      </c>
      <c r="AC116" s="182">
        <f t="shared" si="185"/>
        <v>2.4646860837993266E-3</v>
      </c>
      <c r="AD116" s="63">
        <f t="shared" si="186"/>
        <v>2.0539050698327723</v>
      </c>
      <c r="AE116" s="63" t="s">
        <v>59</v>
      </c>
      <c r="AF116" s="63" t="s">
        <v>59</v>
      </c>
      <c r="AG116" s="63" t="s">
        <v>59</v>
      </c>
      <c r="AH116" s="63" t="s">
        <v>59</v>
      </c>
      <c r="AI116" s="63" t="s">
        <v>59</v>
      </c>
      <c r="AJ116" s="63" t="s">
        <v>59</v>
      </c>
      <c r="AK116" s="178" t="s">
        <v>167</v>
      </c>
      <c r="AL116" s="179">
        <v>135</v>
      </c>
      <c r="AM116" s="179">
        <f t="shared" si="187"/>
        <v>135</v>
      </c>
      <c r="AN116" s="63">
        <f t="shared" si="188"/>
        <v>1</v>
      </c>
      <c r="AO116" s="179">
        <f>AL116*V116/1000</f>
        <v>202500</v>
      </c>
      <c r="AP116" s="179">
        <v>10187.91</v>
      </c>
      <c r="AQ116" s="63">
        <f t="shared" si="189"/>
        <v>5.0310666666666663E-2</v>
      </c>
      <c r="AR116" s="64">
        <f t="shared" si="190"/>
        <v>3.4999999999999858E-2</v>
      </c>
      <c r="AS116" s="64">
        <f t="shared" si="190"/>
        <v>3.4999999999999948E-2</v>
      </c>
      <c r="AT116" s="63">
        <f t="shared" si="191"/>
        <v>1.0000000000000027</v>
      </c>
      <c r="AU116" s="180">
        <f t="shared" si="178"/>
        <v>7087.4999999999709</v>
      </c>
      <c r="AV116" s="179">
        <f t="shared" si="178"/>
        <v>356.57684999999947</v>
      </c>
      <c r="AW116" s="63">
        <f t="shared" si="192"/>
        <v>5.0310666666666795E-2</v>
      </c>
      <c r="AX116" s="179">
        <f t="shared" ref="AX116" si="194">AO116*103.5%</f>
        <v>209587.49999999997</v>
      </c>
      <c r="AY116" s="179">
        <v>10544.486849999999</v>
      </c>
      <c r="AZ116" s="63">
        <f t="shared" si="193"/>
        <v>5.031066666666667E-2</v>
      </c>
    </row>
    <row r="117" spans="2:52" ht="48" x14ac:dyDescent="0.25">
      <c r="B117" s="124" t="s">
        <v>241</v>
      </c>
      <c r="C117" s="105" t="s">
        <v>52</v>
      </c>
      <c r="D117" s="95">
        <v>44562</v>
      </c>
      <c r="E117" s="95">
        <v>44592</v>
      </c>
      <c r="F117" s="94" t="s">
        <v>72</v>
      </c>
      <c r="G117" s="183" t="s">
        <v>242</v>
      </c>
      <c r="H117" s="94" t="s">
        <v>243</v>
      </c>
      <c r="I117" s="94" t="s">
        <v>232</v>
      </c>
      <c r="J117" s="96" t="s">
        <v>233</v>
      </c>
      <c r="K117" s="172" t="s">
        <v>236</v>
      </c>
      <c r="L117" s="94" t="s">
        <v>59</v>
      </c>
      <c r="M117" s="94" t="s">
        <v>59</v>
      </c>
      <c r="N117" s="94" t="s">
        <v>59</v>
      </c>
      <c r="O117" s="94" t="s">
        <v>59</v>
      </c>
      <c r="P117" s="94" t="s">
        <v>59</v>
      </c>
      <c r="Q117" s="94" t="s">
        <v>59</v>
      </c>
      <c r="R117" s="94" t="s">
        <v>59</v>
      </c>
      <c r="S117" s="94" t="s">
        <v>59</v>
      </c>
      <c r="T117" s="94" t="s">
        <v>59</v>
      </c>
      <c r="U117" s="94" t="s">
        <v>59</v>
      </c>
      <c r="V117" s="103">
        <v>3000000</v>
      </c>
      <c r="W117" s="103">
        <v>2985541</v>
      </c>
      <c r="X117" s="184">
        <f>W117/V117</f>
        <v>0.99518033333333333</v>
      </c>
      <c r="Y117" s="185" t="s">
        <v>244</v>
      </c>
      <c r="Z117" s="94">
        <v>33483</v>
      </c>
      <c r="AA117" s="94" t="s">
        <v>59</v>
      </c>
      <c r="AB117" s="94" t="s">
        <v>59</v>
      </c>
      <c r="AC117" s="94" t="s">
        <v>59</v>
      </c>
      <c r="AD117" s="186" t="s">
        <v>59</v>
      </c>
      <c r="AE117" s="186" t="s">
        <v>59</v>
      </c>
      <c r="AF117" s="63" t="s">
        <v>59</v>
      </c>
      <c r="AG117" s="63" t="s">
        <v>59</v>
      </c>
      <c r="AH117" s="186" t="s">
        <v>59</v>
      </c>
      <c r="AI117" s="63" t="s">
        <v>59</v>
      </c>
      <c r="AJ117" s="63" t="s">
        <v>59</v>
      </c>
      <c r="AK117" s="94" t="s">
        <v>60</v>
      </c>
      <c r="AL117" s="187">
        <v>300</v>
      </c>
      <c r="AM117" s="179">
        <f>AP117/W117*1000</f>
        <v>300</v>
      </c>
      <c r="AN117" s="188">
        <f>AM117/AL117</f>
        <v>1</v>
      </c>
      <c r="AO117" s="179">
        <f>AL117*V117/1000</f>
        <v>900000</v>
      </c>
      <c r="AP117" s="179">
        <v>895662.3</v>
      </c>
      <c r="AQ117" s="184">
        <f>AP117/AO117</f>
        <v>0.99518033333333333</v>
      </c>
      <c r="AR117" s="64">
        <f t="shared" si="190"/>
        <v>3.4999999999999871E-2</v>
      </c>
      <c r="AS117" s="64">
        <f t="shared" si="190"/>
        <v>3.4999999999999885E-2</v>
      </c>
      <c r="AT117" s="63">
        <f t="shared" si="191"/>
        <v>1.0000000000000004</v>
      </c>
      <c r="AU117" s="180">
        <f t="shared" si="178"/>
        <v>31499.999999999884</v>
      </c>
      <c r="AV117" s="179">
        <f t="shared" si="178"/>
        <v>31348.1804999999</v>
      </c>
      <c r="AW117" s="63">
        <f t="shared" si="192"/>
        <v>0.99518033333333389</v>
      </c>
      <c r="AX117" s="179">
        <f>AO117*103.5%</f>
        <v>931499.99999999988</v>
      </c>
      <c r="AY117" s="179">
        <v>927010.48049999995</v>
      </c>
      <c r="AZ117" s="184">
        <f>AY117/AX117</f>
        <v>0.99518033333333344</v>
      </c>
    </row>
    <row r="119" spans="2:52" ht="90" x14ac:dyDescent="0.25">
      <c r="B119" s="189" t="s">
        <v>246</v>
      </c>
      <c r="C119" s="190" t="s">
        <v>173</v>
      </c>
      <c r="D119" s="191">
        <v>44562</v>
      </c>
      <c r="E119" s="191">
        <v>44592</v>
      </c>
      <c r="F119" s="191" t="s">
        <v>111</v>
      </c>
      <c r="G119" s="192" t="s">
        <v>247</v>
      </c>
      <c r="H119" s="193" t="s">
        <v>248</v>
      </c>
      <c r="I119" s="30" t="s">
        <v>249</v>
      </c>
      <c r="J119" s="30" t="s">
        <v>250</v>
      </c>
      <c r="K119" s="30" t="s">
        <v>251</v>
      </c>
      <c r="L119" s="194">
        <v>11800000</v>
      </c>
      <c r="M119" s="195">
        <v>0.65</v>
      </c>
      <c r="N119" s="195">
        <f>Q119/L119</f>
        <v>0.6544148305084746</v>
      </c>
      <c r="O119" s="196">
        <f t="shared" ref="O119:O120" si="195">N119/M119</f>
        <v>1.0067920469361147</v>
      </c>
      <c r="P119" s="197">
        <f>M119*L119</f>
        <v>7670000</v>
      </c>
      <c r="Q119" s="197">
        <v>7722095</v>
      </c>
      <c r="R119" s="196">
        <f t="shared" ref="R119:R120" si="196">Q119/P119</f>
        <v>1.0067920469361147</v>
      </c>
      <c r="S119" s="198">
        <v>6.2</v>
      </c>
      <c r="T119" s="194">
        <f t="shared" ref="T119:T120" si="197">W119/Q119</f>
        <v>8.0510695607862885</v>
      </c>
      <c r="U119" s="196">
        <f t="shared" ref="U119:U120" si="198">T119/S119</f>
        <v>1.2985596065784335</v>
      </c>
      <c r="V119" s="197">
        <f t="shared" ref="V119:V120" si="199">P119*S119</f>
        <v>47554000</v>
      </c>
      <c r="W119" s="197">
        <v>62171124</v>
      </c>
      <c r="X119" s="196">
        <f t="shared" ref="X119:X120" si="200">W119/V119</f>
        <v>1.3073794843756572</v>
      </c>
      <c r="Y119" s="197">
        <f t="shared" ref="Y119:Y120" si="201">AB119*V119</f>
        <v>95108</v>
      </c>
      <c r="Z119" s="197">
        <v>229438</v>
      </c>
      <c r="AA119" s="196">
        <f t="shared" ref="AA119:AA120" si="202">Z119/Y119</f>
        <v>2.4123943306556757</v>
      </c>
      <c r="AB119" s="199">
        <v>2E-3</v>
      </c>
      <c r="AC119" s="199">
        <f t="shared" ref="AC119:AC120" si="203">Z119/W119</f>
        <v>3.6904270863753405E-3</v>
      </c>
      <c r="AD119" s="196">
        <f t="shared" ref="AD119:AD120" si="204">AC119/AB119</f>
        <v>1.8452135431876702</v>
      </c>
      <c r="AE119" s="197" t="s">
        <v>59</v>
      </c>
      <c r="AF119" s="197" t="s">
        <v>59</v>
      </c>
      <c r="AG119" s="196" t="s">
        <v>59</v>
      </c>
      <c r="AH119" s="195" t="s">
        <v>59</v>
      </c>
      <c r="AI119" s="195" t="s">
        <v>59</v>
      </c>
      <c r="AJ119" s="196" t="s">
        <v>59</v>
      </c>
      <c r="AK119" s="195" t="s">
        <v>60</v>
      </c>
      <c r="AL119" s="200">
        <f>46*107%</f>
        <v>49.220000000000006</v>
      </c>
      <c r="AM119" s="201">
        <f>AP119/W119*1000</f>
        <v>37.626133958909932</v>
      </c>
      <c r="AN119" s="196">
        <f t="shared" ref="AN119:AN120" si="205">AM119/AL119</f>
        <v>0.76444806905546381</v>
      </c>
      <c r="AO119" s="194">
        <f>AL119*V119/1000</f>
        <v>2340607.8800000004</v>
      </c>
      <c r="AP119" s="194">
        <v>2339259.04</v>
      </c>
      <c r="AQ119" s="196">
        <f t="shared" ref="AQ119:AQ120" si="206">AP119/AO119</f>
        <v>0.99942372235369881</v>
      </c>
      <c r="AR119" s="196" t="s">
        <v>59</v>
      </c>
      <c r="AS119" s="196" t="s">
        <v>59</v>
      </c>
      <c r="AT119" s="196" t="s">
        <v>59</v>
      </c>
      <c r="AU119" s="196" t="s">
        <v>59</v>
      </c>
      <c r="AV119" s="196" t="s">
        <v>59</v>
      </c>
      <c r="AW119" s="196" t="s">
        <v>59</v>
      </c>
      <c r="AX119" s="194">
        <f t="shared" ref="AX119:AX120" si="207">AO119</f>
        <v>2340607.8800000004</v>
      </c>
      <c r="AY119" s="194">
        <f>AP119</f>
        <v>2339259.04</v>
      </c>
      <c r="AZ119" s="196">
        <f t="shared" ref="AZ119:AZ120" si="208">AY119/AX119</f>
        <v>0.99942372235369881</v>
      </c>
    </row>
    <row r="120" spans="2:52" ht="90" x14ac:dyDescent="0.25">
      <c r="B120" s="189" t="s">
        <v>246</v>
      </c>
      <c r="C120" s="190" t="s">
        <v>173</v>
      </c>
      <c r="D120" s="191">
        <v>44562</v>
      </c>
      <c r="E120" s="191">
        <v>44592</v>
      </c>
      <c r="F120" s="191" t="s">
        <v>111</v>
      </c>
      <c r="G120" s="192" t="s">
        <v>247</v>
      </c>
      <c r="H120" s="193" t="s">
        <v>252</v>
      </c>
      <c r="I120" s="30" t="s">
        <v>249</v>
      </c>
      <c r="J120" s="30" t="s">
        <v>250</v>
      </c>
      <c r="K120" s="30" t="s">
        <v>251</v>
      </c>
      <c r="L120" s="194">
        <v>14400000</v>
      </c>
      <c r="M120" s="195">
        <v>0.65</v>
      </c>
      <c r="N120" s="195">
        <f>Q120/L120</f>
        <v>0.66279902777777777</v>
      </c>
      <c r="O120" s="196">
        <f t="shared" si="195"/>
        <v>1.0196908119658119</v>
      </c>
      <c r="P120" s="197">
        <f>M120*L120</f>
        <v>9360000</v>
      </c>
      <c r="Q120" s="197">
        <v>9544306</v>
      </c>
      <c r="R120" s="196">
        <f t="shared" si="196"/>
        <v>1.0196908119658119</v>
      </c>
      <c r="S120" s="198">
        <v>6.2</v>
      </c>
      <c r="T120" s="194">
        <f t="shared" si="197"/>
        <v>7.7130936497635343</v>
      </c>
      <c r="U120" s="196">
        <f t="shared" si="198"/>
        <v>1.2440473628650861</v>
      </c>
      <c r="V120" s="197">
        <f t="shared" si="199"/>
        <v>58032000</v>
      </c>
      <c r="W120" s="197">
        <v>73616126</v>
      </c>
      <c r="X120" s="196">
        <f t="shared" si="200"/>
        <v>1.2685436655638269</v>
      </c>
      <c r="Y120" s="197">
        <f t="shared" si="201"/>
        <v>174096</v>
      </c>
      <c r="Z120" s="197">
        <v>269721</v>
      </c>
      <c r="AA120" s="196">
        <f t="shared" si="202"/>
        <v>1.5492659222497933</v>
      </c>
      <c r="AB120" s="199">
        <v>3.0000000000000001E-3</v>
      </c>
      <c r="AC120" s="199">
        <f t="shared" si="203"/>
        <v>3.6638847309080078E-3</v>
      </c>
      <c r="AD120" s="196">
        <f t="shared" si="204"/>
        <v>1.2212949103026693</v>
      </c>
      <c r="AE120" s="197" t="s">
        <v>59</v>
      </c>
      <c r="AF120" s="197" t="s">
        <v>59</v>
      </c>
      <c r="AG120" s="196" t="s">
        <v>59</v>
      </c>
      <c r="AH120" s="195" t="s">
        <v>59</v>
      </c>
      <c r="AI120" s="195" t="s">
        <v>59</v>
      </c>
      <c r="AJ120" s="196" t="s">
        <v>59</v>
      </c>
      <c r="AK120" s="195" t="s">
        <v>60</v>
      </c>
      <c r="AL120" s="200">
        <f>35*107%</f>
        <v>37.450000000000003</v>
      </c>
      <c r="AM120" s="201">
        <f>AP120/W120*1000</f>
        <v>29.425967891871949</v>
      </c>
      <c r="AN120" s="196">
        <f t="shared" si="205"/>
        <v>0.78574013062408399</v>
      </c>
      <c r="AO120" s="194">
        <f>AL120*V120/1000</f>
        <v>2173298.4</v>
      </c>
      <c r="AP120" s="194">
        <v>2166225.7599999998</v>
      </c>
      <c r="AQ120" s="196">
        <f t="shared" si="206"/>
        <v>0.99674566548247578</v>
      </c>
      <c r="AR120" s="196" t="s">
        <v>59</v>
      </c>
      <c r="AS120" s="196" t="s">
        <v>59</v>
      </c>
      <c r="AT120" s="196" t="s">
        <v>59</v>
      </c>
      <c r="AU120" s="196" t="s">
        <v>59</v>
      </c>
      <c r="AV120" s="196" t="s">
        <v>59</v>
      </c>
      <c r="AW120" s="196" t="s">
        <v>59</v>
      </c>
      <c r="AX120" s="194">
        <f t="shared" si="207"/>
        <v>2173298.4</v>
      </c>
      <c r="AY120" s="194">
        <f>AP120</f>
        <v>2166225.7599999998</v>
      </c>
      <c r="AZ120" s="196">
        <f t="shared" si="208"/>
        <v>0.99674566548247578</v>
      </c>
    </row>
    <row r="122" spans="2:52" ht="89.25" x14ac:dyDescent="0.25">
      <c r="B122" s="39" t="s">
        <v>254</v>
      </c>
      <c r="C122" s="45" t="s">
        <v>121</v>
      </c>
      <c r="D122" s="202">
        <v>44591</v>
      </c>
      <c r="E122" s="202">
        <v>44596</v>
      </c>
      <c r="F122" s="27" t="s">
        <v>125</v>
      </c>
      <c r="G122" s="202" t="s">
        <v>255</v>
      </c>
      <c r="H122" s="202" t="s">
        <v>256</v>
      </c>
      <c r="I122" s="202" t="s">
        <v>257</v>
      </c>
      <c r="J122" s="202" t="s">
        <v>59</v>
      </c>
      <c r="K122" s="202" t="s">
        <v>258</v>
      </c>
      <c r="L122" s="203" t="s">
        <v>59</v>
      </c>
      <c r="M122" s="203" t="s">
        <v>59</v>
      </c>
      <c r="N122" s="203" t="s">
        <v>59</v>
      </c>
      <c r="O122" s="203" t="s">
        <v>59</v>
      </c>
      <c r="P122" s="203"/>
      <c r="Q122" s="203"/>
      <c r="R122" s="203"/>
      <c r="S122" s="203"/>
      <c r="T122" s="203"/>
      <c r="U122" s="203"/>
      <c r="V122" s="39" t="s">
        <v>259</v>
      </c>
      <c r="W122" s="39">
        <v>6999470</v>
      </c>
      <c r="X122" s="39" t="s">
        <v>59</v>
      </c>
      <c r="Y122" s="39" t="s">
        <v>59</v>
      </c>
      <c r="Z122" s="39">
        <v>7863</v>
      </c>
      <c r="AA122" s="39" t="s">
        <v>59</v>
      </c>
      <c r="AB122" s="39" t="s">
        <v>59</v>
      </c>
      <c r="AC122" s="50">
        <f>Z122/W122</f>
        <v>1.1233707695011193E-3</v>
      </c>
      <c r="AD122" s="39" t="s">
        <v>59</v>
      </c>
      <c r="AE122" s="39" t="s">
        <v>59</v>
      </c>
      <c r="AF122" s="39" t="s">
        <v>59</v>
      </c>
      <c r="AG122" s="39" t="s">
        <v>59</v>
      </c>
      <c r="AH122" s="39" t="s">
        <v>59</v>
      </c>
      <c r="AI122" s="39" t="s">
        <v>59</v>
      </c>
      <c r="AJ122" s="39" t="s">
        <v>59</v>
      </c>
      <c r="AK122" s="39" t="s">
        <v>59</v>
      </c>
      <c r="AL122" s="39" t="s">
        <v>59</v>
      </c>
      <c r="AM122" s="39" t="s">
        <v>59</v>
      </c>
      <c r="AN122" s="39" t="s">
        <v>59</v>
      </c>
      <c r="AO122" s="204">
        <v>4500000</v>
      </c>
      <c r="AP122" s="205">
        <v>1159112.2320000001</v>
      </c>
      <c r="AQ122" s="206" t="s">
        <v>59</v>
      </c>
      <c r="AR122" s="206" t="s">
        <v>59</v>
      </c>
      <c r="AS122" s="206" t="s">
        <v>59</v>
      </c>
      <c r="AT122" s="206" t="s">
        <v>59</v>
      </c>
      <c r="AU122" s="206" t="s">
        <v>59</v>
      </c>
      <c r="AV122" s="206" t="s">
        <v>59</v>
      </c>
      <c r="AW122" s="206" t="s">
        <v>59</v>
      </c>
      <c r="AX122" s="204">
        <v>3900000</v>
      </c>
      <c r="AY122" s="205">
        <v>1119915.2</v>
      </c>
      <c r="AZ122" s="206" t="s">
        <v>59</v>
      </c>
    </row>
    <row r="123" spans="2:52" ht="89.25" x14ac:dyDescent="0.25">
      <c r="B123" s="39" t="s">
        <v>254</v>
      </c>
      <c r="C123" s="45" t="s">
        <v>121</v>
      </c>
      <c r="D123" s="202">
        <v>44591</v>
      </c>
      <c r="E123" s="202">
        <v>44596</v>
      </c>
      <c r="F123" s="27" t="s">
        <v>125</v>
      </c>
      <c r="G123" s="202" t="s">
        <v>255</v>
      </c>
      <c r="H123" s="202" t="s">
        <v>260</v>
      </c>
      <c r="I123" s="202" t="s">
        <v>261</v>
      </c>
      <c r="J123" s="202" t="s">
        <v>59</v>
      </c>
      <c r="K123" s="202" t="s">
        <v>131</v>
      </c>
      <c r="L123" s="45" t="s">
        <v>59</v>
      </c>
      <c r="M123" s="45" t="s">
        <v>59</v>
      </c>
      <c r="N123" s="45" t="s">
        <v>59</v>
      </c>
      <c r="O123" s="45" t="s">
        <v>59</v>
      </c>
      <c r="P123" s="45"/>
      <c r="Q123" s="45"/>
      <c r="R123" s="45"/>
      <c r="S123" s="45"/>
      <c r="T123" s="45"/>
      <c r="U123" s="45"/>
      <c r="V123" s="207">
        <v>10000000</v>
      </c>
      <c r="W123" s="39">
        <v>3988881</v>
      </c>
      <c r="X123" s="208" t="s">
        <v>59</v>
      </c>
      <c r="Y123" s="208" t="s">
        <v>59</v>
      </c>
      <c r="Z123" s="39">
        <v>2901</v>
      </c>
      <c r="AA123" s="208" t="s">
        <v>59</v>
      </c>
      <c r="AB123" s="208" t="s">
        <v>59</v>
      </c>
      <c r="AC123" s="50">
        <f t="shared" ref="AC123:AC126" si="209">Z123/W123</f>
        <v>7.2727163332272882E-4</v>
      </c>
      <c r="AD123" s="208" t="s">
        <v>59</v>
      </c>
      <c r="AE123" s="208" t="s">
        <v>59</v>
      </c>
      <c r="AF123" s="208" t="s">
        <v>59</v>
      </c>
      <c r="AG123" s="208" t="s">
        <v>59</v>
      </c>
      <c r="AH123" s="208" t="s">
        <v>59</v>
      </c>
      <c r="AI123" s="208" t="s">
        <v>59</v>
      </c>
      <c r="AJ123" s="208" t="s">
        <v>59</v>
      </c>
      <c r="AK123" s="208" t="s">
        <v>59</v>
      </c>
      <c r="AL123" s="208" t="s">
        <v>59</v>
      </c>
      <c r="AM123" s="208" t="s">
        <v>59</v>
      </c>
      <c r="AN123" s="208" t="s">
        <v>59</v>
      </c>
      <c r="AO123" s="209"/>
      <c r="AP123" s="205">
        <v>825698.36699999997</v>
      </c>
      <c r="AQ123" s="206" t="s">
        <v>59</v>
      </c>
      <c r="AR123" s="206" t="s">
        <v>59</v>
      </c>
      <c r="AS123" s="206" t="s">
        <v>59</v>
      </c>
      <c r="AT123" s="206" t="s">
        <v>59</v>
      </c>
      <c r="AU123" s="206" t="s">
        <v>59</v>
      </c>
      <c r="AV123" s="206" t="s">
        <v>59</v>
      </c>
      <c r="AW123" s="206" t="s">
        <v>59</v>
      </c>
      <c r="AX123" s="209"/>
      <c r="AY123" s="205">
        <v>797776.2</v>
      </c>
      <c r="AZ123" s="206" t="s">
        <v>59</v>
      </c>
    </row>
    <row r="124" spans="2:52" ht="89.25" x14ac:dyDescent="0.25">
      <c r="B124" s="39" t="s">
        <v>254</v>
      </c>
      <c r="C124" s="45" t="s">
        <v>121</v>
      </c>
      <c r="D124" s="202">
        <v>44591</v>
      </c>
      <c r="E124" s="202">
        <v>44596</v>
      </c>
      <c r="F124" s="27" t="s">
        <v>125</v>
      </c>
      <c r="G124" s="202" t="s">
        <v>255</v>
      </c>
      <c r="H124" s="202" t="s">
        <v>256</v>
      </c>
      <c r="I124" s="202" t="s">
        <v>261</v>
      </c>
      <c r="J124" s="202" t="s">
        <v>59</v>
      </c>
      <c r="K124" s="202" t="s">
        <v>131</v>
      </c>
      <c r="L124" s="210" t="s">
        <v>59</v>
      </c>
      <c r="M124" s="210" t="s">
        <v>59</v>
      </c>
      <c r="N124" s="210" t="s">
        <v>59</v>
      </c>
      <c r="O124" s="210" t="s">
        <v>59</v>
      </c>
      <c r="P124" s="210"/>
      <c r="Q124" s="210"/>
      <c r="R124" s="210"/>
      <c r="S124" s="210"/>
      <c r="T124" s="210"/>
      <c r="U124" s="210"/>
      <c r="V124" s="211" t="s">
        <v>262</v>
      </c>
      <c r="W124" s="39">
        <v>12911945</v>
      </c>
      <c r="X124" s="212" t="s">
        <v>59</v>
      </c>
      <c r="Y124" s="212" t="s">
        <v>59</v>
      </c>
      <c r="Z124" s="39">
        <v>18565</v>
      </c>
      <c r="AA124" s="212" t="s">
        <v>59</v>
      </c>
      <c r="AB124" s="212" t="s">
        <v>59</v>
      </c>
      <c r="AC124" s="50">
        <f t="shared" si="209"/>
        <v>1.4378159138689021E-3</v>
      </c>
      <c r="AD124" s="212" t="s">
        <v>59</v>
      </c>
      <c r="AE124" s="212" t="s">
        <v>59</v>
      </c>
      <c r="AF124" s="212" t="s">
        <v>59</v>
      </c>
      <c r="AG124" s="212" t="s">
        <v>59</v>
      </c>
      <c r="AH124" s="212" t="s">
        <v>59</v>
      </c>
      <c r="AI124" s="212" t="s">
        <v>59</v>
      </c>
      <c r="AJ124" s="212" t="s">
        <v>59</v>
      </c>
      <c r="AK124" s="212" t="s">
        <v>59</v>
      </c>
      <c r="AL124" s="212" t="s">
        <v>59</v>
      </c>
      <c r="AM124" s="212" t="s">
        <v>59</v>
      </c>
      <c r="AN124" s="212" t="s">
        <v>59</v>
      </c>
      <c r="AO124" s="209"/>
      <c r="AP124" s="205">
        <v>1034999.990396</v>
      </c>
      <c r="AQ124" s="206" t="s">
        <v>59</v>
      </c>
      <c r="AR124" s="206" t="s">
        <v>59</v>
      </c>
      <c r="AS124" s="206" t="s">
        <v>59</v>
      </c>
      <c r="AT124" s="206" t="s">
        <v>59</v>
      </c>
      <c r="AU124" s="206" t="s">
        <v>59</v>
      </c>
      <c r="AV124" s="206" t="s">
        <v>59</v>
      </c>
      <c r="AW124" s="206" t="s">
        <v>59</v>
      </c>
      <c r="AX124" s="209"/>
      <c r="AY124" s="205">
        <v>999999.98972499999</v>
      </c>
      <c r="AZ124" s="206" t="s">
        <v>59</v>
      </c>
    </row>
    <row r="125" spans="2:52" ht="89.25" x14ac:dyDescent="0.25">
      <c r="B125" s="39" t="s">
        <v>254</v>
      </c>
      <c r="C125" s="45" t="s">
        <v>121</v>
      </c>
      <c r="D125" s="202">
        <v>44591</v>
      </c>
      <c r="E125" s="202">
        <v>44596</v>
      </c>
      <c r="F125" s="27" t="s">
        <v>125</v>
      </c>
      <c r="G125" s="202" t="s">
        <v>255</v>
      </c>
      <c r="H125" s="202" t="s">
        <v>256</v>
      </c>
      <c r="I125" s="202" t="s">
        <v>261</v>
      </c>
      <c r="J125" s="202" t="s">
        <v>59</v>
      </c>
      <c r="K125" s="202" t="s">
        <v>131</v>
      </c>
      <c r="L125" s="210" t="s">
        <v>59</v>
      </c>
      <c r="M125" s="210" t="s">
        <v>59</v>
      </c>
      <c r="N125" s="210" t="s">
        <v>59</v>
      </c>
      <c r="O125" s="210" t="s">
        <v>59</v>
      </c>
      <c r="P125" s="210"/>
      <c r="Q125" s="210"/>
      <c r="R125" s="210"/>
      <c r="S125" s="210"/>
      <c r="T125" s="210"/>
      <c r="U125" s="210"/>
      <c r="V125" s="207" t="s">
        <v>263</v>
      </c>
      <c r="W125" s="39">
        <v>2030106</v>
      </c>
      <c r="X125" s="208" t="s">
        <v>59</v>
      </c>
      <c r="Y125" s="208" t="s">
        <v>59</v>
      </c>
      <c r="Z125" s="39">
        <v>12222</v>
      </c>
      <c r="AA125" s="208" t="s">
        <v>59</v>
      </c>
      <c r="AB125" s="208" t="s">
        <v>59</v>
      </c>
      <c r="AC125" s="50">
        <f t="shared" si="209"/>
        <v>6.0203752907483652E-3</v>
      </c>
      <c r="AD125" s="208" t="s">
        <v>59</v>
      </c>
      <c r="AE125" s="208" t="s">
        <v>59</v>
      </c>
      <c r="AF125" s="208" t="s">
        <v>59</v>
      </c>
      <c r="AG125" s="208" t="s">
        <v>59</v>
      </c>
      <c r="AH125" s="208" t="s">
        <v>59</v>
      </c>
      <c r="AI125" s="208" t="s">
        <v>59</v>
      </c>
      <c r="AJ125" s="208" t="s">
        <v>59</v>
      </c>
      <c r="AK125" s="208" t="s">
        <v>59</v>
      </c>
      <c r="AL125" s="208" t="s">
        <v>59</v>
      </c>
      <c r="AM125" s="208" t="s">
        <v>59</v>
      </c>
      <c r="AN125" s="208" t="s">
        <v>59</v>
      </c>
      <c r="AO125" s="209"/>
      <c r="AP125" s="205">
        <v>517499.999939</v>
      </c>
      <c r="AQ125" s="206" t="s">
        <v>59</v>
      </c>
      <c r="AR125" s="213" t="s">
        <v>59</v>
      </c>
      <c r="AS125" s="213" t="s">
        <v>59</v>
      </c>
      <c r="AT125" s="213" t="s">
        <v>59</v>
      </c>
      <c r="AU125" s="213" t="s">
        <v>59</v>
      </c>
      <c r="AV125" s="213" t="s">
        <v>59</v>
      </c>
      <c r="AW125" s="213" t="s">
        <v>59</v>
      </c>
      <c r="AX125" s="209"/>
      <c r="AY125" s="205">
        <v>500000.00036199996</v>
      </c>
      <c r="AZ125" s="206" t="s">
        <v>59</v>
      </c>
    </row>
    <row r="126" spans="2:52" ht="89.25" x14ac:dyDescent="0.25">
      <c r="B126" s="39" t="s">
        <v>254</v>
      </c>
      <c r="C126" s="45" t="s">
        <v>121</v>
      </c>
      <c r="D126" s="202">
        <v>44591</v>
      </c>
      <c r="E126" s="202">
        <v>44596</v>
      </c>
      <c r="F126" s="27" t="s">
        <v>125</v>
      </c>
      <c r="G126" s="202" t="s">
        <v>255</v>
      </c>
      <c r="H126" s="202" t="s">
        <v>260</v>
      </c>
      <c r="I126" s="202" t="s">
        <v>261</v>
      </c>
      <c r="J126" s="202" t="s">
        <v>59</v>
      </c>
      <c r="K126" s="202" t="s">
        <v>264</v>
      </c>
      <c r="L126" s="210" t="s">
        <v>59</v>
      </c>
      <c r="M126" s="210" t="s">
        <v>59</v>
      </c>
      <c r="N126" s="210" t="s">
        <v>59</v>
      </c>
      <c r="O126" s="210" t="s">
        <v>59</v>
      </c>
      <c r="P126" s="210"/>
      <c r="Q126" s="210"/>
      <c r="R126" s="210"/>
      <c r="S126" s="210"/>
      <c r="T126" s="210"/>
      <c r="U126" s="210"/>
      <c r="V126" s="207">
        <v>4000000</v>
      </c>
      <c r="W126" s="39">
        <v>2986354</v>
      </c>
      <c r="X126" s="208" t="s">
        <v>59</v>
      </c>
      <c r="Y126" s="208" t="s">
        <v>59</v>
      </c>
      <c r="Z126" s="39">
        <v>3056</v>
      </c>
      <c r="AA126" s="208" t="s">
        <v>59</v>
      </c>
      <c r="AB126" s="208" t="s">
        <v>59</v>
      </c>
      <c r="AC126" s="50">
        <f t="shared" si="209"/>
        <v>1.0233214146748845E-3</v>
      </c>
      <c r="AD126" s="208" t="s">
        <v>59</v>
      </c>
      <c r="AE126" s="208" t="s">
        <v>59</v>
      </c>
      <c r="AF126" s="208" t="s">
        <v>59</v>
      </c>
      <c r="AG126" s="208" t="s">
        <v>59</v>
      </c>
      <c r="AH126" s="208" t="s">
        <v>59</v>
      </c>
      <c r="AI126" s="208" t="s">
        <v>59</v>
      </c>
      <c r="AJ126" s="208" t="s">
        <v>59</v>
      </c>
      <c r="AK126" s="208" t="s">
        <v>59</v>
      </c>
      <c r="AL126" s="208" t="s">
        <v>59</v>
      </c>
      <c r="AM126" s="208" t="s">
        <v>59</v>
      </c>
      <c r="AN126" s="208" t="s">
        <v>59</v>
      </c>
      <c r="AO126" s="214"/>
      <c r="AP126" s="205">
        <v>494540.22240000003</v>
      </c>
      <c r="AQ126" s="206" t="s">
        <v>59</v>
      </c>
      <c r="AR126" s="206" t="s">
        <v>59</v>
      </c>
      <c r="AS126" s="206" t="s">
        <v>59</v>
      </c>
      <c r="AT126" s="206" t="s">
        <v>59</v>
      </c>
      <c r="AU126" s="206" t="s">
        <v>59</v>
      </c>
      <c r="AV126" s="206" t="s">
        <v>59</v>
      </c>
      <c r="AW126" s="206" t="s">
        <v>59</v>
      </c>
      <c r="AX126" s="214"/>
      <c r="AY126" s="205">
        <v>477816.64</v>
      </c>
      <c r="AZ126" s="206" t="s">
        <v>59</v>
      </c>
    </row>
    <row r="128" spans="2:52" ht="76.5" x14ac:dyDescent="0.25">
      <c r="B128" s="203" t="s">
        <v>69</v>
      </c>
      <c r="C128" s="203" t="s">
        <v>72</v>
      </c>
      <c r="D128" s="215" t="s">
        <v>52</v>
      </c>
      <c r="E128" s="216">
        <v>44620</v>
      </c>
      <c r="F128" s="203" t="s">
        <v>72</v>
      </c>
      <c r="G128" s="203" t="s">
        <v>266</v>
      </c>
      <c r="H128" s="203" t="s">
        <v>210</v>
      </c>
      <c r="I128" s="217" t="s">
        <v>164</v>
      </c>
      <c r="J128" s="217" t="s">
        <v>165</v>
      </c>
      <c r="K128" s="217" t="s">
        <v>166</v>
      </c>
      <c r="L128" s="218">
        <v>4100000</v>
      </c>
      <c r="M128" s="219">
        <v>0.6</v>
      </c>
      <c r="N128" s="219">
        <f t="shared" ref="N128:N135" si="210">Q128/L128</f>
        <v>0.71630780487804879</v>
      </c>
      <c r="O128" s="220">
        <f>N128/M128</f>
        <v>1.1938463414634146</v>
      </c>
      <c r="P128" s="221">
        <f>M128*L128</f>
        <v>2460000</v>
      </c>
      <c r="Q128" s="221">
        <v>2936862</v>
      </c>
      <c r="R128" s="220">
        <f>Q128/P128</f>
        <v>1.1938463414634146</v>
      </c>
      <c r="S128" s="218">
        <v>2</v>
      </c>
      <c r="T128" s="222">
        <f>W128/Q128</f>
        <v>1.9498829022269348</v>
      </c>
      <c r="U128" s="220">
        <f>T128/S128</f>
        <v>0.97494145111346742</v>
      </c>
      <c r="V128" s="221">
        <f>P128*S128</f>
        <v>4920000</v>
      </c>
      <c r="W128" s="221">
        <v>5726537</v>
      </c>
      <c r="X128" s="220">
        <f>W128/V128</f>
        <v>1.1639302845528454</v>
      </c>
      <c r="Y128" s="221">
        <f>AB128*V128</f>
        <v>24600</v>
      </c>
      <c r="Z128" s="221">
        <v>31692</v>
      </c>
      <c r="AA128" s="220">
        <f>Z128/Y128</f>
        <v>1.2882926829268293</v>
      </c>
      <c r="AB128" s="223">
        <v>5.0000000000000001E-3</v>
      </c>
      <c r="AC128" s="223">
        <f>Z128/W128</f>
        <v>5.5342347390752913E-3</v>
      </c>
      <c r="AD128" s="220">
        <f>AC128/AB128</f>
        <v>1.1068469478150582</v>
      </c>
      <c r="AE128" s="221">
        <f>AH128*V128</f>
        <v>3936000</v>
      </c>
      <c r="AF128" s="221">
        <v>4586398</v>
      </c>
      <c r="AG128" s="220">
        <f>AF128/AE128</f>
        <v>1.1652433943089431</v>
      </c>
      <c r="AH128" s="219">
        <v>0.8</v>
      </c>
      <c r="AI128" s="219">
        <f>AF128/W128</f>
        <v>0.80090253498755004</v>
      </c>
      <c r="AJ128" s="220">
        <f>AI128/AH128</f>
        <v>1.0011281687344376</v>
      </c>
      <c r="AK128" s="224" t="s">
        <v>167</v>
      </c>
      <c r="AL128" s="225">
        <v>80</v>
      </c>
      <c r="AM128" s="225">
        <f>AP128/W128*1000</f>
        <v>67.238205980507928</v>
      </c>
      <c r="AN128" s="220">
        <f>AM128/AL128</f>
        <v>0.8404775747563491</v>
      </c>
      <c r="AO128" s="226">
        <f t="shared" ref="AO128:AO135" si="211">AL128*V128/1000</f>
        <v>393600</v>
      </c>
      <c r="AP128" s="226">
        <v>385042.07436099998</v>
      </c>
      <c r="AQ128" s="220">
        <f>AP128/AO128</f>
        <v>0.97825730274644307</v>
      </c>
      <c r="AR128" s="220">
        <f>AU128/AO128</f>
        <v>3.4999999999999851E-2</v>
      </c>
      <c r="AS128" s="220">
        <f>AV128/AP128</f>
        <v>3.5000000148983794E-2</v>
      </c>
      <c r="AT128" s="220">
        <f>AS128/AR128</f>
        <v>1.0000000042566841</v>
      </c>
      <c r="AU128" s="205">
        <f>AX128-AO128</f>
        <v>13775.999999999942</v>
      </c>
      <c r="AV128" s="205">
        <f>AY128-AP128</f>
        <v>13476.472660000029</v>
      </c>
      <c r="AW128" s="220">
        <f>AV128/AU128</f>
        <v>0.97825730691057533</v>
      </c>
      <c r="AX128" s="226">
        <f>AO128*103.5%</f>
        <v>407375.99999999994</v>
      </c>
      <c r="AY128" s="226">
        <v>398518.54702100001</v>
      </c>
      <c r="AZ128" s="220">
        <f t="shared" ref="AZ128:AZ135" si="212">AY128/AX128</f>
        <v>0.97825730288725909</v>
      </c>
    </row>
    <row r="129" spans="1:52" ht="76.5" x14ac:dyDescent="0.25">
      <c r="B129" s="203" t="s">
        <v>69</v>
      </c>
      <c r="C129" s="203" t="s">
        <v>72</v>
      </c>
      <c r="D129" s="215" t="s">
        <v>52</v>
      </c>
      <c r="E129" s="216">
        <v>44620</v>
      </c>
      <c r="F129" s="203" t="s">
        <v>72</v>
      </c>
      <c r="G129" s="203" t="s">
        <v>266</v>
      </c>
      <c r="H129" s="203" t="s">
        <v>267</v>
      </c>
      <c r="I129" s="217" t="s">
        <v>164</v>
      </c>
      <c r="J129" s="217" t="s">
        <v>165</v>
      </c>
      <c r="K129" s="217" t="s">
        <v>166</v>
      </c>
      <c r="L129" s="218">
        <v>8830000</v>
      </c>
      <c r="M129" s="219">
        <v>0.6</v>
      </c>
      <c r="N129" s="219">
        <f t="shared" si="210"/>
        <v>0.59171596828992068</v>
      </c>
      <c r="O129" s="220">
        <f t="shared" ref="O129:O135" si="213">N129/M129</f>
        <v>0.98619328048320121</v>
      </c>
      <c r="P129" s="221">
        <f>M129*L129</f>
        <v>5298000</v>
      </c>
      <c r="Q129" s="221">
        <v>5224852</v>
      </c>
      <c r="R129" s="220">
        <f t="shared" ref="R129:R135" si="214">Q129/P129</f>
        <v>0.98619328048320121</v>
      </c>
      <c r="S129" s="218">
        <v>2</v>
      </c>
      <c r="T129" s="222">
        <f t="shared" ref="T129:T135" si="215">W129/Q129</f>
        <v>1.9220607588502028</v>
      </c>
      <c r="U129" s="220">
        <f t="shared" ref="U129:U135" si="216">T129/S129</f>
        <v>0.96103037942510139</v>
      </c>
      <c r="V129" s="221">
        <f>P129*S129</f>
        <v>10596000</v>
      </c>
      <c r="W129" s="221">
        <v>10042483</v>
      </c>
      <c r="X129" s="220">
        <f t="shared" ref="X129:X135" si="217">W129/V129</f>
        <v>0.94776170252925629</v>
      </c>
      <c r="Y129" s="221">
        <f>AB129*V129</f>
        <v>79470</v>
      </c>
      <c r="Z129" s="221">
        <v>61021</v>
      </c>
      <c r="AA129" s="220">
        <f t="shared" ref="AA129:AA135" si="218">Z129/Y129</f>
        <v>0.76784950295709076</v>
      </c>
      <c r="AB129" s="223">
        <v>7.4999999999999997E-3</v>
      </c>
      <c r="AC129" s="223">
        <f t="shared" ref="AC129:AC135" si="219">Z129/W129</f>
        <v>6.0762861137031547E-3</v>
      </c>
      <c r="AD129" s="220">
        <f t="shared" ref="AD129:AD135" si="220">AC129/AB129</f>
        <v>0.81017148182708731</v>
      </c>
      <c r="AE129" s="221">
        <f>AH129*V129</f>
        <v>8476800</v>
      </c>
      <c r="AF129" s="221">
        <v>8147969</v>
      </c>
      <c r="AG129" s="220">
        <f t="shared" ref="AG129:AG131" si="221">AF129/AE129</f>
        <v>0.96120812098905251</v>
      </c>
      <c r="AH129" s="219">
        <v>0.8</v>
      </c>
      <c r="AI129" s="219">
        <f t="shared" ref="AI129:AI135" si="222">AF129/W129</f>
        <v>0.81135004161819346</v>
      </c>
      <c r="AJ129" s="220">
        <f t="shared" ref="AJ129:AJ131" si="223">AI129/AH129</f>
        <v>1.0141875520227417</v>
      </c>
      <c r="AK129" s="224" t="s">
        <v>167</v>
      </c>
      <c r="AL129" s="225">
        <v>80</v>
      </c>
      <c r="AM129" s="225">
        <f t="shared" ref="AM129:AM135" si="224">AP129/W129*1000</f>
        <v>75.74827133120364</v>
      </c>
      <c r="AN129" s="220">
        <f t="shared" ref="AN129:AN135" si="225">AM129/AL129</f>
        <v>0.94685339164004545</v>
      </c>
      <c r="AO129" s="226">
        <f t="shared" si="211"/>
        <v>847680</v>
      </c>
      <c r="AP129" s="226">
        <v>760700.72712299996</v>
      </c>
      <c r="AQ129" s="220">
        <f t="shared" ref="AQ129:AQ135" si="226">AP129/AO129</f>
        <v>0.89739138250637029</v>
      </c>
      <c r="AR129" s="220">
        <f t="shared" ref="AR129:AS131" si="227">AU129/AO129</f>
        <v>3.499999999999992E-2</v>
      </c>
      <c r="AS129" s="220">
        <f t="shared" si="227"/>
        <v>3.5000000071900836E-2</v>
      </c>
      <c r="AT129" s="220">
        <f t="shared" ref="AT129:AT131" si="228">AS129/AR129</f>
        <v>1.0000000020543118</v>
      </c>
      <c r="AU129" s="205">
        <f t="shared" ref="AU129:AV131" si="229">AX129-AO129</f>
        <v>29668.79999999993</v>
      </c>
      <c r="AV129" s="205">
        <f t="shared" si="229"/>
        <v>26624.525504000019</v>
      </c>
      <c r="AW129" s="220">
        <f t="shared" ref="AW129:AW131" si="230">AV129/AU129</f>
        <v>0.89739138434989218</v>
      </c>
      <c r="AX129" s="226">
        <f>AO129*103.5%</f>
        <v>877348.79999999993</v>
      </c>
      <c r="AY129" s="226">
        <v>787325.25262699998</v>
      </c>
      <c r="AZ129" s="220">
        <f t="shared" si="212"/>
        <v>0.89739138256871165</v>
      </c>
    </row>
    <row r="130" spans="1:52" ht="76.5" x14ac:dyDescent="0.25">
      <c r="B130" s="203" t="s">
        <v>69</v>
      </c>
      <c r="C130" s="203" t="s">
        <v>72</v>
      </c>
      <c r="D130" s="215" t="s">
        <v>52</v>
      </c>
      <c r="E130" s="216">
        <v>44620</v>
      </c>
      <c r="F130" s="203" t="s">
        <v>72</v>
      </c>
      <c r="G130" s="203" t="s">
        <v>266</v>
      </c>
      <c r="H130" s="203" t="s">
        <v>268</v>
      </c>
      <c r="I130" s="217" t="s">
        <v>164</v>
      </c>
      <c r="J130" s="217" t="s">
        <v>165</v>
      </c>
      <c r="K130" s="217" t="s">
        <v>166</v>
      </c>
      <c r="L130" s="218">
        <v>8670000</v>
      </c>
      <c r="M130" s="219">
        <v>0.6</v>
      </c>
      <c r="N130" s="219">
        <f t="shared" si="210"/>
        <v>0.61533667820069204</v>
      </c>
      <c r="O130" s="220">
        <f t="shared" si="213"/>
        <v>1.0255611303344867</v>
      </c>
      <c r="P130" s="221">
        <f>M130*L130</f>
        <v>5202000</v>
      </c>
      <c r="Q130" s="221">
        <v>5334969</v>
      </c>
      <c r="R130" s="220">
        <f t="shared" si="214"/>
        <v>1.0255611303344867</v>
      </c>
      <c r="S130" s="218">
        <v>2</v>
      </c>
      <c r="T130" s="222">
        <f t="shared" si="215"/>
        <v>2.2542584596086686</v>
      </c>
      <c r="U130" s="220">
        <f t="shared" si="216"/>
        <v>1.1271292298043343</v>
      </c>
      <c r="V130" s="221">
        <f>P130*S130</f>
        <v>10404000</v>
      </c>
      <c r="W130" s="221">
        <v>12026399</v>
      </c>
      <c r="X130" s="220">
        <f t="shared" si="217"/>
        <v>1.1559399269511725</v>
      </c>
      <c r="Y130" s="221">
        <f>AB130*V130</f>
        <v>78030</v>
      </c>
      <c r="Z130" s="221">
        <v>64610</v>
      </c>
      <c r="AA130" s="220">
        <f t="shared" si="218"/>
        <v>0.8280148660771498</v>
      </c>
      <c r="AB130" s="223">
        <v>7.4999999999999997E-3</v>
      </c>
      <c r="AC130" s="223">
        <f t="shared" si="219"/>
        <v>5.3723479488748047E-3</v>
      </c>
      <c r="AD130" s="220">
        <f t="shared" si="220"/>
        <v>0.71631305984997395</v>
      </c>
      <c r="AE130" s="221">
        <f>AH130*V130</f>
        <v>8323200</v>
      </c>
      <c r="AF130" s="221">
        <v>9967627</v>
      </c>
      <c r="AG130" s="220">
        <f t="shared" si="221"/>
        <v>1.1975714869281047</v>
      </c>
      <c r="AH130" s="219">
        <v>0.8</v>
      </c>
      <c r="AI130" s="219">
        <f t="shared" si="222"/>
        <v>0.82881226541710451</v>
      </c>
      <c r="AJ130" s="220">
        <f t="shared" si="223"/>
        <v>1.0360153317713805</v>
      </c>
      <c r="AK130" s="224" t="s">
        <v>167</v>
      </c>
      <c r="AL130" s="225">
        <v>80</v>
      </c>
      <c r="AM130" s="225">
        <f t="shared" si="224"/>
        <v>76.398972396475457</v>
      </c>
      <c r="AN130" s="220">
        <f t="shared" si="225"/>
        <v>0.95498715495594322</v>
      </c>
      <c r="AO130" s="226">
        <f t="shared" si="211"/>
        <v>832320</v>
      </c>
      <c r="AP130" s="226">
        <v>918804.52523000003</v>
      </c>
      <c r="AQ130" s="220">
        <f t="shared" si="226"/>
        <v>1.1039077821390813</v>
      </c>
      <c r="AR130" s="220">
        <f t="shared" si="227"/>
        <v>3.4999999999999941E-2</v>
      </c>
      <c r="AS130" s="220">
        <f t="shared" si="227"/>
        <v>3.5000000043480431E-2</v>
      </c>
      <c r="AT130" s="220">
        <f t="shared" si="228"/>
        <v>1.0000000012422998</v>
      </c>
      <c r="AU130" s="205">
        <f t="shared" si="229"/>
        <v>29131.199999999953</v>
      </c>
      <c r="AV130" s="205">
        <f t="shared" si="229"/>
        <v>32158.158423000015</v>
      </c>
      <c r="AW130" s="220">
        <f t="shared" si="230"/>
        <v>1.1039077835104654</v>
      </c>
      <c r="AX130" s="226">
        <f>AO130*103.5%</f>
        <v>861451.2</v>
      </c>
      <c r="AY130" s="226">
        <v>950962.68365300004</v>
      </c>
      <c r="AZ130" s="220">
        <f t="shared" si="212"/>
        <v>1.1039077821854564</v>
      </c>
    </row>
    <row r="131" spans="1:52" ht="76.5" x14ac:dyDescent="0.25">
      <c r="B131" s="203" t="s">
        <v>69</v>
      </c>
      <c r="C131" s="203" t="s">
        <v>72</v>
      </c>
      <c r="D131" s="215" t="s">
        <v>52</v>
      </c>
      <c r="E131" s="216">
        <v>44620</v>
      </c>
      <c r="F131" s="203" t="s">
        <v>72</v>
      </c>
      <c r="G131" s="203" t="s">
        <v>266</v>
      </c>
      <c r="H131" s="203" t="s">
        <v>269</v>
      </c>
      <c r="I131" s="217" t="s">
        <v>164</v>
      </c>
      <c r="J131" s="217" t="s">
        <v>165</v>
      </c>
      <c r="K131" s="217" t="s">
        <v>166</v>
      </c>
      <c r="L131" s="218">
        <v>7940000</v>
      </c>
      <c r="M131" s="219">
        <v>0.6</v>
      </c>
      <c r="N131" s="219">
        <f t="shared" si="210"/>
        <v>0.61385692695214111</v>
      </c>
      <c r="O131" s="220">
        <f t="shared" si="213"/>
        <v>1.0230948782535685</v>
      </c>
      <c r="P131" s="221">
        <f>M131*L131</f>
        <v>4764000</v>
      </c>
      <c r="Q131" s="221">
        <v>4874024</v>
      </c>
      <c r="R131" s="220">
        <f t="shared" si="214"/>
        <v>1.0230948782535685</v>
      </c>
      <c r="S131" s="218">
        <v>2</v>
      </c>
      <c r="T131" s="222">
        <f t="shared" si="215"/>
        <v>1.9159134218460967</v>
      </c>
      <c r="U131" s="220">
        <f t="shared" si="216"/>
        <v>0.95795671092304835</v>
      </c>
      <c r="V131" s="221">
        <f>P131*S131</f>
        <v>9528000</v>
      </c>
      <c r="W131" s="221">
        <v>9338208</v>
      </c>
      <c r="X131" s="220">
        <f t="shared" si="217"/>
        <v>0.98008060453400503</v>
      </c>
      <c r="Y131" s="221">
        <f>AB131*V131</f>
        <v>71460</v>
      </c>
      <c r="Z131" s="221">
        <v>52281</v>
      </c>
      <c r="AA131" s="220">
        <f t="shared" si="218"/>
        <v>0.7316120906801008</v>
      </c>
      <c r="AB131" s="223">
        <v>7.4999999999999997E-3</v>
      </c>
      <c r="AC131" s="223">
        <f t="shared" si="219"/>
        <v>5.5986116394066187E-3</v>
      </c>
      <c r="AD131" s="220">
        <f t="shared" si="220"/>
        <v>0.7464815519208825</v>
      </c>
      <c r="AE131" s="221">
        <f>AH131*V131</f>
        <v>7622400</v>
      </c>
      <c r="AF131" s="221">
        <v>7795433</v>
      </c>
      <c r="AG131" s="220">
        <f t="shared" si="221"/>
        <v>1.0227005929890849</v>
      </c>
      <c r="AH131" s="219">
        <v>0.8</v>
      </c>
      <c r="AI131" s="219">
        <f t="shared" si="222"/>
        <v>0.83478896593436347</v>
      </c>
      <c r="AJ131" s="220">
        <f t="shared" si="223"/>
        <v>1.0434862074179543</v>
      </c>
      <c r="AK131" s="224" t="s">
        <v>167</v>
      </c>
      <c r="AL131" s="225">
        <v>80</v>
      </c>
      <c r="AM131" s="225">
        <f t="shared" si="224"/>
        <v>82.489434532407074</v>
      </c>
      <c r="AN131" s="220">
        <f t="shared" si="225"/>
        <v>1.0311179316550885</v>
      </c>
      <c r="AO131" s="226">
        <f t="shared" si="211"/>
        <v>762240</v>
      </c>
      <c r="AP131" s="226">
        <v>770303.49746600003</v>
      </c>
      <c r="AQ131" s="220">
        <f t="shared" si="226"/>
        <v>1.010578685802372</v>
      </c>
      <c r="AR131" s="220">
        <f t="shared" si="227"/>
        <v>3.4999999999999878E-2</v>
      </c>
      <c r="AS131" s="220">
        <f t="shared" si="227"/>
        <v>3.5000000054121433E-2</v>
      </c>
      <c r="AT131" s="220">
        <f t="shared" si="228"/>
        <v>1.0000000015463302</v>
      </c>
      <c r="AU131" s="205">
        <f t="shared" si="229"/>
        <v>26678.399999999907</v>
      </c>
      <c r="AV131" s="205">
        <f t="shared" si="229"/>
        <v>26960.622452999931</v>
      </c>
      <c r="AW131" s="220">
        <f t="shared" si="230"/>
        <v>1.0105786873650604</v>
      </c>
      <c r="AX131" s="226">
        <f>AO131*103.5%</f>
        <v>788918.39999999991</v>
      </c>
      <c r="AY131" s="226">
        <v>797264.11991899996</v>
      </c>
      <c r="AZ131" s="220">
        <f t="shared" si="212"/>
        <v>1.0105786858552166</v>
      </c>
    </row>
    <row r="132" spans="1:52" ht="51" x14ac:dyDescent="0.25">
      <c r="B132" s="203" t="s">
        <v>172</v>
      </c>
      <c r="C132" s="227" t="s">
        <v>173</v>
      </c>
      <c r="D132" s="216">
        <v>44593</v>
      </c>
      <c r="E132" s="216">
        <v>44620</v>
      </c>
      <c r="F132" s="203" t="s">
        <v>111</v>
      </c>
      <c r="G132" s="203" t="s">
        <v>270</v>
      </c>
      <c r="H132" s="203" t="s">
        <v>271</v>
      </c>
      <c r="I132" s="217" t="s">
        <v>272</v>
      </c>
      <c r="J132" s="217" t="s">
        <v>250</v>
      </c>
      <c r="K132" s="203" t="s">
        <v>273</v>
      </c>
      <c r="L132" s="218">
        <v>3400000</v>
      </c>
      <c r="M132" s="219">
        <v>0.6</v>
      </c>
      <c r="N132" s="219">
        <f t="shared" si="210"/>
        <v>0.59962058823529407</v>
      </c>
      <c r="O132" s="220">
        <f t="shared" si="213"/>
        <v>0.99936764705882353</v>
      </c>
      <c r="P132" s="221">
        <f>L132*M132</f>
        <v>2040000</v>
      </c>
      <c r="Q132" s="221">
        <v>2038710</v>
      </c>
      <c r="R132" s="220">
        <f t="shared" si="214"/>
        <v>0.99936764705882353</v>
      </c>
      <c r="S132" s="222">
        <v>6.2</v>
      </c>
      <c r="T132" s="222">
        <f t="shared" si="215"/>
        <v>6.1907107926090514</v>
      </c>
      <c r="U132" s="220">
        <f t="shared" si="216"/>
        <v>0.99850174074339537</v>
      </c>
      <c r="V132" s="221">
        <f t="shared" ref="V132:V135" si="231">P132*S132</f>
        <v>12648000</v>
      </c>
      <c r="W132" s="221">
        <v>12621064</v>
      </c>
      <c r="X132" s="220">
        <f t="shared" si="217"/>
        <v>0.99787033523086655</v>
      </c>
      <c r="Y132" s="221">
        <f t="shared" ref="Y132:Y135" si="232">V132*AB132</f>
        <v>39208.799999999996</v>
      </c>
      <c r="Z132" s="221">
        <v>46159</v>
      </c>
      <c r="AA132" s="220">
        <f t="shared" si="218"/>
        <v>1.177261227071474</v>
      </c>
      <c r="AB132" s="223">
        <v>3.0999999999999999E-3</v>
      </c>
      <c r="AC132" s="223">
        <f t="shared" si="219"/>
        <v>3.6572986239511978E-3</v>
      </c>
      <c r="AD132" s="220">
        <f t="shared" si="220"/>
        <v>1.1797737496616767</v>
      </c>
      <c r="AE132" s="221" t="s">
        <v>59</v>
      </c>
      <c r="AF132" s="228">
        <v>448641</v>
      </c>
      <c r="AG132" s="219" t="s">
        <v>59</v>
      </c>
      <c r="AH132" s="219" t="s">
        <v>59</v>
      </c>
      <c r="AI132" s="219">
        <f t="shared" si="222"/>
        <v>3.5547003010205795E-2</v>
      </c>
      <c r="AJ132" s="219" t="s">
        <v>59</v>
      </c>
      <c r="AK132" s="224" t="s">
        <v>167</v>
      </c>
      <c r="AL132" s="225">
        <f>20*110%</f>
        <v>22</v>
      </c>
      <c r="AM132" s="225">
        <f t="shared" si="224"/>
        <v>22.039953208382432</v>
      </c>
      <c r="AN132" s="220">
        <f t="shared" si="225"/>
        <v>1.0018160549264741</v>
      </c>
      <c r="AO132" s="226">
        <f t="shared" si="211"/>
        <v>278256</v>
      </c>
      <c r="AP132" s="226">
        <v>278167.65999999997</v>
      </c>
      <c r="AQ132" s="220">
        <f t="shared" si="226"/>
        <v>0.99968252256914492</v>
      </c>
      <c r="AR132" s="220" t="s">
        <v>59</v>
      </c>
      <c r="AS132" s="220" t="s">
        <v>59</v>
      </c>
      <c r="AT132" s="220" t="s">
        <v>59</v>
      </c>
      <c r="AU132" s="220" t="s">
        <v>59</v>
      </c>
      <c r="AV132" s="220" t="s">
        <v>59</v>
      </c>
      <c r="AW132" s="220" t="s">
        <v>59</v>
      </c>
      <c r="AX132" s="226">
        <f>AO132</f>
        <v>278256</v>
      </c>
      <c r="AY132" s="226">
        <f>AP132</f>
        <v>278167.65999999997</v>
      </c>
      <c r="AZ132" s="220">
        <f t="shared" si="212"/>
        <v>0.99968252256914492</v>
      </c>
    </row>
    <row r="133" spans="1:52" ht="51" x14ac:dyDescent="0.25">
      <c r="B133" s="203" t="s">
        <v>172</v>
      </c>
      <c r="C133" s="227" t="s">
        <v>173</v>
      </c>
      <c r="D133" s="216">
        <v>44593</v>
      </c>
      <c r="E133" s="216">
        <v>44620</v>
      </c>
      <c r="F133" s="203" t="s">
        <v>111</v>
      </c>
      <c r="G133" s="203" t="s">
        <v>270</v>
      </c>
      <c r="H133" s="203" t="s">
        <v>267</v>
      </c>
      <c r="I133" s="217" t="s">
        <v>272</v>
      </c>
      <c r="J133" s="217" t="s">
        <v>250</v>
      </c>
      <c r="K133" s="203" t="s">
        <v>273</v>
      </c>
      <c r="L133" s="218">
        <v>4400000</v>
      </c>
      <c r="M133" s="219">
        <v>0.6</v>
      </c>
      <c r="N133" s="219">
        <f t="shared" si="210"/>
        <v>0.59354022727272726</v>
      </c>
      <c r="O133" s="220">
        <f t="shared" si="213"/>
        <v>0.98923371212121214</v>
      </c>
      <c r="P133" s="221">
        <f>L133*M133</f>
        <v>2640000</v>
      </c>
      <c r="Q133" s="221">
        <v>2611577</v>
      </c>
      <c r="R133" s="220">
        <f t="shared" si="214"/>
        <v>0.98923371212121214</v>
      </c>
      <c r="S133" s="222">
        <v>6</v>
      </c>
      <c r="T133" s="222">
        <f t="shared" si="215"/>
        <v>5.9897789726284154</v>
      </c>
      <c r="U133" s="220">
        <f t="shared" si="216"/>
        <v>0.9982964954380692</v>
      </c>
      <c r="V133" s="221">
        <f t="shared" si="231"/>
        <v>15840000</v>
      </c>
      <c r="W133" s="221">
        <v>15642769</v>
      </c>
      <c r="X133" s="220">
        <f t="shared" si="217"/>
        <v>0.98754854797979796</v>
      </c>
      <c r="Y133" s="221">
        <f t="shared" si="232"/>
        <v>49104</v>
      </c>
      <c r="Z133" s="221">
        <v>60770</v>
      </c>
      <c r="AA133" s="220">
        <f t="shared" si="218"/>
        <v>1.2375773867709352</v>
      </c>
      <c r="AB133" s="223">
        <v>3.0999999999999999E-3</v>
      </c>
      <c r="AC133" s="223">
        <f t="shared" si="219"/>
        <v>3.8848620726931403E-3</v>
      </c>
      <c r="AD133" s="220">
        <f t="shared" si="220"/>
        <v>1.2531813137719807</v>
      </c>
      <c r="AE133" s="221" t="s">
        <v>59</v>
      </c>
      <c r="AF133" s="228">
        <v>597540</v>
      </c>
      <c r="AG133" s="219" t="s">
        <v>59</v>
      </c>
      <c r="AH133" s="219" t="s">
        <v>59</v>
      </c>
      <c r="AI133" s="219">
        <f t="shared" si="222"/>
        <v>3.819911935028894E-2</v>
      </c>
      <c r="AJ133" s="219" t="s">
        <v>59</v>
      </c>
      <c r="AK133" s="224" t="s">
        <v>167</v>
      </c>
      <c r="AL133" s="225">
        <f>30*110%</f>
        <v>33</v>
      </c>
      <c r="AM133" s="225">
        <f t="shared" si="224"/>
        <v>33.199962871023665</v>
      </c>
      <c r="AN133" s="220">
        <f t="shared" si="225"/>
        <v>1.0060594809401111</v>
      </c>
      <c r="AO133" s="226">
        <f t="shared" si="211"/>
        <v>522720</v>
      </c>
      <c r="AP133" s="226">
        <v>519339.35</v>
      </c>
      <c r="AQ133" s="220">
        <f t="shared" si="226"/>
        <v>0.99353257958371588</v>
      </c>
      <c r="AR133" s="220" t="s">
        <v>59</v>
      </c>
      <c r="AS133" s="220" t="s">
        <v>59</v>
      </c>
      <c r="AT133" s="220" t="s">
        <v>59</v>
      </c>
      <c r="AU133" s="220" t="s">
        <v>59</v>
      </c>
      <c r="AV133" s="220" t="s">
        <v>59</v>
      </c>
      <c r="AW133" s="220" t="s">
        <v>59</v>
      </c>
      <c r="AX133" s="226">
        <f>AO133</f>
        <v>522720</v>
      </c>
      <c r="AY133" s="226">
        <f t="shared" ref="AY133:AY135" si="233">AP133</f>
        <v>519339.35</v>
      </c>
      <c r="AZ133" s="220">
        <f t="shared" si="212"/>
        <v>0.99353257958371588</v>
      </c>
    </row>
    <row r="134" spans="1:52" ht="51" x14ac:dyDescent="0.25">
      <c r="A134" t="s">
        <v>245</v>
      </c>
      <c r="B134" s="203" t="s">
        <v>172</v>
      </c>
      <c r="C134" s="227" t="s">
        <v>173</v>
      </c>
      <c r="D134" s="216">
        <v>44593</v>
      </c>
      <c r="E134" s="216">
        <v>44620</v>
      </c>
      <c r="F134" s="203" t="s">
        <v>111</v>
      </c>
      <c r="G134" s="203" t="s">
        <v>270</v>
      </c>
      <c r="H134" s="203" t="s">
        <v>274</v>
      </c>
      <c r="I134" s="217" t="s">
        <v>272</v>
      </c>
      <c r="J134" s="217" t="s">
        <v>250</v>
      </c>
      <c r="K134" s="203" t="s">
        <v>273</v>
      </c>
      <c r="L134" s="218">
        <v>3100000</v>
      </c>
      <c r="M134" s="219">
        <v>0.6</v>
      </c>
      <c r="N134" s="219">
        <f t="shared" si="210"/>
        <v>0.39868516129032255</v>
      </c>
      <c r="O134" s="220">
        <f t="shared" si="213"/>
        <v>0.66447526881720431</v>
      </c>
      <c r="P134" s="221">
        <f>L134*M134</f>
        <v>1860000</v>
      </c>
      <c r="Q134" s="221">
        <v>1235924</v>
      </c>
      <c r="R134" s="220">
        <f t="shared" si="214"/>
        <v>0.66447526881720431</v>
      </c>
      <c r="S134" s="222">
        <v>6</v>
      </c>
      <c r="T134" s="222">
        <f t="shared" si="215"/>
        <v>5.3820348176748736</v>
      </c>
      <c r="U134" s="220">
        <f t="shared" si="216"/>
        <v>0.89700580294581223</v>
      </c>
      <c r="V134" s="221">
        <f t="shared" si="231"/>
        <v>11160000</v>
      </c>
      <c r="W134" s="221">
        <v>6651786</v>
      </c>
      <c r="X134" s="220">
        <f t="shared" si="217"/>
        <v>0.59603817204301079</v>
      </c>
      <c r="Y134" s="221">
        <f t="shared" si="232"/>
        <v>34596</v>
      </c>
      <c r="Z134" s="221">
        <v>22518</v>
      </c>
      <c r="AA134" s="220">
        <f t="shared" si="218"/>
        <v>0.65088449531737769</v>
      </c>
      <c r="AB134" s="223">
        <v>3.0999999999999999E-3</v>
      </c>
      <c r="AC134" s="223">
        <f t="shared" si="219"/>
        <v>3.3852562304319471E-3</v>
      </c>
      <c r="AD134" s="220">
        <f t="shared" si="220"/>
        <v>1.0920181388490153</v>
      </c>
      <c r="AE134" s="221" t="s">
        <v>59</v>
      </c>
      <c r="AF134" s="228">
        <v>255629</v>
      </c>
      <c r="AG134" s="219" t="s">
        <v>59</v>
      </c>
      <c r="AH134" s="219" t="s">
        <v>59</v>
      </c>
      <c r="AI134" s="219">
        <f t="shared" si="222"/>
        <v>3.8430129892934019E-2</v>
      </c>
      <c r="AJ134" s="219" t="s">
        <v>59</v>
      </c>
      <c r="AK134" s="224" t="s">
        <v>167</v>
      </c>
      <c r="AL134" s="225">
        <f>31*110%</f>
        <v>34.1</v>
      </c>
      <c r="AM134" s="225">
        <f t="shared" si="224"/>
        <v>57.179900255359989</v>
      </c>
      <c r="AN134" s="220">
        <f t="shared" si="225"/>
        <v>1.6768299195120231</v>
      </c>
      <c r="AO134" s="226">
        <f t="shared" si="211"/>
        <v>380556</v>
      </c>
      <c r="AP134" s="226">
        <v>380348.46</v>
      </c>
      <c r="AQ134" s="220">
        <f t="shared" si="226"/>
        <v>0.99945464005297513</v>
      </c>
      <c r="AR134" s="220" t="s">
        <v>59</v>
      </c>
      <c r="AS134" s="220" t="s">
        <v>59</v>
      </c>
      <c r="AT134" s="220" t="s">
        <v>59</v>
      </c>
      <c r="AU134" s="220" t="s">
        <v>59</v>
      </c>
      <c r="AV134" s="220" t="s">
        <v>59</v>
      </c>
      <c r="AW134" s="220" t="s">
        <v>59</v>
      </c>
      <c r="AX134" s="226">
        <f>AO134</f>
        <v>380556</v>
      </c>
      <c r="AY134" s="226">
        <f t="shared" si="233"/>
        <v>380348.46</v>
      </c>
      <c r="AZ134" s="220">
        <f t="shared" si="212"/>
        <v>0.99945464005297513</v>
      </c>
    </row>
    <row r="135" spans="1:52" ht="51" x14ac:dyDescent="0.25">
      <c r="B135" s="203" t="s">
        <v>172</v>
      </c>
      <c r="C135" s="227" t="s">
        <v>173</v>
      </c>
      <c r="D135" s="216">
        <v>44593</v>
      </c>
      <c r="E135" s="216">
        <v>44620</v>
      </c>
      <c r="F135" s="203" t="s">
        <v>111</v>
      </c>
      <c r="G135" s="203" t="s">
        <v>270</v>
      </c>
      <c r="H135" s="203" t="s">
        <v>269</v>
      </c>
      <c r="I135" s="217" t="s">
        <v>272</v>
      </c>
      <c r="J135" s="217" t="s">
        <v>250</v>
      </c>
      <c r="K135" s="203" t="s">
        <v>273</v>
      </c>
      <c r="L135" s="218">
        <v>3200000</v>
      </c>
      <c r="M135" s="219">
        <v>0.6</v>
      </c>
      <c r="N135" s="219">
        <f t="shared" si="210"/>
        <v>0.59085031249999997</v>
      </c>
      <c r="O135" s="220">
        <f t="shared" si="213"/>
        <v>0.98475052083333336</v>
      </c>
      <c r="P135" s="221">
        <f>L135*M135</f>
        <v>1920000</v>
      </c>
      <c r="Q135" s="221">
        <v>1890721</v>
      </c>
      <c r="R135" s="220">
        <f t="shared" si="214"/>
        <v>0.98475052083333336</v>
      </c>
      <c r="S135" s="222">
        <v>6</v>
      </c>
      <c r="T135" s="222">
        <f t="shared" si="215"/>
        <v>5.4448943022265048</v>
      </c>
      <c r="U135" s="220">
        <f t="shared" si="216"/>
        <v>0.90748238370441747</v>
      </c>
      <c r="V135" s="221">
        <f t="shared" si="231"/>
        <v>11520000</v>
      </c>
      <c r="W135" s="221">
        <v>10294776</v>
      </c>
      <c r="X135" s="220">
        <f t="shared" si="217"/>
        <v>0.89364374999999996</v>
      </c>
      <c r="Y135" s="221">
        <f t="shared" si="232"/>
        <v>35712</v>
      </c>
      <c r="Z135" s="221">
        <v>41202</v>
      </c>
      <c r="AA135" s="220">
        <f t="shared" si="218"/>
        <v>1.1537298387096775</v>
      </c>
      <c r="AB135" s="223">
        <v>3.0999999999999999E-3</v>
      </c>
      <c r="AC135" s="223">
        <f t="shared" si="219"/>
        <v>4.0022240406202133E-3</v>
      </c>
      <c r="AD135" s="220">
        <f t="shared" si="220"/>
        <v>1.2910400131032946</v>
      </c>
      <c r="AE135" s="221" t="s">
        <v>59</v>
      </c>
      <c r="AF135" s="228">
        <v>453843</v>
      </c>
      <c r="AG135" s="219" t="s">
        <v>59</v>
      </c>
      <c r="AH135" s="219" t="s">
        <v>59</v>
      </c>
      <c r="AI135" s="219">
        <f t="shared" si="222"/>
        <v>4.4084786303266822E-2</v>
      </c>
      <c r="AJ135" s="219" t="s">
        <v>59</v>
      </c>
      <c r="AK135" s="224" t="s">
        <v>167</v>
      </c>
      <c r="AL135" s="225">
        <f>27*110%</f>
        <v>29.700000000000003</v>
      </c>
      <c r="AM135" s="225">
        <f t="shared" si="224"/>
        <v>33.139941073025781</v>
      </c>
      <c r="AN135" s="220">
        <f t="shared" si="225"/>
        <v>1.1158229317517097</v>
      </c>
      <c r="AO135" s="226">
        <f t="shared" si="211"/>
        <v>342144.00000000006</v>
      </c>
      <c r="AP135" s="226">
        <v>341168.27</v>
      </c>
      <c r="AQ135" s="220">
        <f t="shared" si="226"/>
        <v>0.99714818906659175</v>
      </c>
      <c r="AR135" s="220" t="s">
        <v>59</v>
      </c>
      <c r="AS135" s="220" t="s">
        <v>59</v>
      </c>
      <c r="AT135" s="220" t="s">
        <v>59</v>
      </c>
      <c r="AU135" s="220" t="s">
        <v>59</v>
      </c>
      <c r="AV135" s="220" t="s">
        <v>59</v>
      </c>
      <c r="AW135" s="220" t="s">
        <v>59</v>
      </c>
      <c r="AX135" s="226">
        <f>AO135</f>
        <v>342144.00000000006</v>
      </c>
      <c r="AY135" s="226">
        <f t="shared" si="233"/>
        <v>341168.27</v>
      </c>
      <c r="AZ135" s="220">
        <f t="shared" si="212"/>
        <v>0.99714818906659175</v>
      </c>
    </row>
    <row r="137" spans="1:52" ht="25.5" x14ac:dyDescent="0.25">
      <c r="B137" s="229" t="s">
        <v>276</v>
      </c>
      <c r="C137" s="230" t="s">
        <v>232</v>
      </c>
      <c r="D137" s="231">
        <v>44603</v>
      </c>
      <c r="E137" s="231">
        <v>44612</v>
      </c>
      <c r="F137" s="29" t="s">
        <v>277</v>
      </c>
      <c r="G137" s="231" t="s">
        <v>278</v>
      </c>
      <c r="H137" s="232" t="s">
        <v>279</v>
      </c>
      <c r="I137" s="231" t="s">
        <v>158</v>
      </c>
      <c r="J137" s="232" t="s">
        <v>59</v>
      </c>
      <c r="K137" s="29" t="s">
        <v>280</v>
      </c>
      <c r="L137" s="29" t="s">
        <v>59</v>
      </c>
      <c r="M137" s="29" t="s">
        <v>59</v>
      </c>
      <c r="N137" s="29" t="s">
        <v>59</v>
      </c>
      <c r="O137" s="29" t="s">
        <v>59</v>
      </c>
      <c r="P137" s="29" t="s">
        <v>59</v>
      </c>
      <c r="Q137" s="29" t="s">
        <v>59</v>
      </c>
      <c r="R137" s="29" t="s">
        <v>59</v>
      </c>
      <c r="S137" s="29" t="s">
        <v>59</v>
      </c>
      <c r="T137" s="29" t="s">
        <v>59</v>
      </c>
      <c r="U137" s="29" t="s">
        <v>59</v>
      </c>
      <c r="V137" s="233">
        <v>145960000</v>
      </c>
      <c r="W137" s="233">
        <v>152359560</v>
      </c>
      <c r="X137" s="234">
        <f>W137/V137</f>
        <v>1.0438446149630036</v>
      </c>
      <c r="Y137" s="233" t="s">
        <v>59</v>
      </c>
      <c r="Z137" s="233">
        <v>46972</v>
      </c>
      <c r="AA137" s="233" t="s">
        <v>59</v>
      </c>
      <c r="AB137" s="233" t="s">
        <v>59</v>
      </c>
      <c r="AC137" s="235">
        <f>Z137/W137</f>
        <v>3.0829703104944645E-4</v>
      </c>
      <c r="AD137" s="233" t="s">
        <v>59</v>
      </c>
      <c r="AE137" s="233" t="s">
        <v>59</v>
      </c>
      <c r="AF137" s="233" t="s">
        <v>59</v>
      </c>
      <c r="AG137" s="233" t="s">
        <v>59</v>
      </c>
      <c r="AH137" s="233" t="s">
        <v>59</v>
      </c>
      <c r="AI137" s="233" t="s">
        <v>59</v>
      </c>
      <c r="AJ137" s="233" t="s">
        <v>59</v>
      </c>
      <c r="AK137" s="233" t="s">
        <v>59</v>
      </c>
      <c r="AL137" s="233" t="s">
        <v>59</v>
      </c>
      <c r="AM137" s="233" t="s">
        <v>59</v>
      </c>
      <c r="AN137" s="233" t="s">
        <v>59</v>
      </c>
      <c r="AO137" s="236">
        <v>1800000</v>
      </c>
      <c r="AP137" s="236">
        <v>1800000</v>
      </c>
      <c r="AQ137" s="237">
        <f>AP137/AO137</f>
        <v>1</v>
      </c>
      <c r="AR137" s="238" t="s">
        <v>59</v>
      </c>
      <c r="AS137" s="238" t="s">
        <v>59</v>
      </c>
      <c r="AT137" s="238" t="s">
        <v>59</v>
      </c>
      <c r="AU137" s="238" t="s">
        <v>59</v>
      </c>
      <c r="AV137" s="238" t="s">
        <v>59</v>
      </c>
      <c r="AW137" s="238" t="s">
        <v>59</v>
      </c>
      <c r="AX137" s="236">
        <v>1800000</v>
      </c>
      <c r="AY137" s="236">
        <v>1800000</v>
      </c>
      <c r="AZ137" s="237">
        <f>AY137/AX137</f>
        <v>1</v>
      </c>
    </row>
    <row r="138" spans="1:52" ht="25.5" x14ac:dyDescent="0.25">
      <c r="B138" s="229" t="s">
        <v>276</v>
      </c>
      <c r="C138" s="230" t="s">
        <v>232</v>
      </c>
      <c r="D138" s="231">
        <v>44603</v>
      </c>
      <c r="E138" s="231">
        <v>44612</v>
      </c>
      <c r="F138" s="29" t="s">
        <v>277</v>
      </c>
      <c r="G138" s="231" t="s">
        <v>278</v>
      </c>
      <c r="H138" s="232" t="s">
        <v>279</v>
      </c>
      <c r="I138" s="231" t="s">
        <v>158</v>
      </c>
      <c r="J138" s="232" t="s">
        <v>59</v>
      </c>
      <c r="K138" s="29" t="s">
        <v>280</v>
      </c>
      <c r="L138" s="29" t="s">
        <v>59</v>
      </c>
      <c r="M138" s="29" t="s">
        <v>59</v>
      </c>
      <c r="N138" s="29" t="s">
        <v>59</v>
      </c>
      <c r="O138" s="29" t="s">
        <v>59</v>
      </c>
      <c r="P138" s="29" t="s">
        <v>59</v>
      </c>
      <c r="Q138" s="29" t="s">
        <v>59</v>
      </c>
      <c r="R138" s="29" t="s">
        <v>59</v>
      </c>
      <c r="S138" s="29" t="s">
        <v>59</v>
      </c>
      <c r="T138" s="29" t="s">
        <v>59</v>
      </c>
      <c r="U138" s="29" t="s">
        <v>59</v>
      </c>
      <c r="V138" s="233">
        <v>1000000</v>
      </c>
      <c r="W138" s="233">
        <v>1011836</v>
      </c>
      <c r="X138" s="234">
        <f>W138/V138</f>
        <v>1.011836</v>
      </c>
      <c r="Y138" s="233" t="s">
        <v>59</v>
      </c>
      <c r="Z138" s="233">
        <v>3792</v>
      </c>
      <c r="AA138" s="233" t="s">
        <v>59</v>
      </c>
      <c r="AB138" s="233" t="s">
        <v>59</v>
      </c>
      <c r="AC138" s="235">
        <f t="shared" ref="AC138:AC139" si="234">Z138/W138</f>
        <v>3.7476428986515601E-3</v>
      </c>
      <c r="AD138" s="233" t="s">
        <v>59</v>
      </c>
      <c r="AE138" s="233" t="s">
        <v>59</v>
      </c>
      <c r="AF138" s="233" t="s">
        <v>59</v>
      </c>
      <c r="AG138" s="233" t="s">
        <v>59</v>
      </c>
      <c r="AH138" s="233" t="s">
        <v>59</v>
      </c>
      <c r="AI138" s="233" t="s">
        <v>59</v>
      </c>
      <c r="AJ138" s="233" t="s">
        <v>59</v>
      </c>
      <c r="AK138" s="233" t="s">
        <v>59</v>
      </c>
      <c r="AL138" s="233" t="s">
        <v>59</v>
      </c>
      <c r="AM138" s="233" t="s">
        <v>59</v>
      </c>
      <c r="AN138" s="233" t="s">
        <v>59</v>
      </c>
      <c r="AO138" s="239"/>
      <c r="AP138" s="239"/>
      <c r="AQ138" s="240"/>
      <c r="AR138" s="238" t="s">
        <v>59</v>
      </c>
      <c r="AS138" s="238" t="s">
        <v>59</v>
      </c>
      <c r="AT138" s="238" t="s">
        <v>59</v>
      </c>
      <c r="AU138" s="238" t="s">
        <v>59</v>
      </c>
      <c r="AV138" s="238" t="s">
        <v>59</v>
      </c>
      <c r="AW138" s="238" t="s">
        <v>59</v>
      </c>
      <c r="AX138" s="239"/>
      <c r="AY138" s="239"/>
      <c r="AZ138" s="240"/>
    </row>
    <row r="139" spans="1:52" ht="25.5" x14ac:dyDescent="0.25">
      <c r="B139" s="229" t="s">
        <v>276</v>
      </c>
      <c r="C139" s="230" t="s">
        <v>232</v>
      </c>
      <c r="D139" s="231">
        <v>44603</v>
      </c>
      <c r="E139" s="231">
        <v>44612</v>
      </c>
      <c r="F139" s="29" t="s">
        <v>277</v>
      </c>
      <c r="G139" s="231" t="s">
        <v>278</v>
      </c>
      <c r="H139" s="232" t="s">
        <v>279</v>
      </c>
      <c r="I139" s="231" t="s">
        <v>158</v>
      </c>
      <c r="J139" s="232" t="s">
        <v>59</v>
      </c>
      <c r="K139" s="29" t="s">
        <v>280</v>
      </c>
      <c r="L139" s="29" t="s">
        <v>59</v>
      </c>
      <c r="M139" s="29" t="s">
        <v>59</v>
      </c>
      <c r="N139" s="29" t="s">
        <v>59</v>
      </c>
      <c r="O139" s="29" t="s">
        <v>59</v>
      </c>
      <c r="P139" s="29" t="s">
        <v>59</v>
      </c>
      <c r="Q139" s="29" t="s">
        <v>59</v>
      </c>
      <c r="R139" s="29" t="s">
        <v>59</v>
      </c>
      <c r="S139" s="29" t="s">
        <v>59</v>
      </c>
      <c r="T139" s="29" t="s">
        <v>59</v>
      </c>
      <c r="U139" s="29" t="s">
        <v>59</v>
      </c>
      <c r="V139" s="233">
        <v>35000000</v>
      </c>
      <c r="W139" s="233">
        <v>38328202</v>
      </c>
      <c r="X139" s="234">
        <f>W139/V139</f>
        <v>1.0950914857142857</v>
      </c>
      <c r="Y139" s="233" t="s">
        <v>59</v>
      </c>
      <c r="Z139" s="233">
        <v>33308</v>
      </c>
      <c r="AA139" s="233" t="s">
        <v>59</v>
      </c>
      <c r="AB139" s="233" t="s">
        <v>59</v>
      </c>
      <c r="AC139" s="235">
        <f t="shared" si="234"/>
        <v>8.690206756894049E-4</v>
      </c>
      <c r="AD139" s="233" t="s">
        <v>59</v>
      </c>
      <c r="AE139" s="233" t="s">
        <v>59</v>
      </c>
      <c r="AF139" s="233" t="s">
        <v>59</v>
      </c>
      <c r="AG139" s="233" t="s">
        <v>59</v>
      </c>
      <c r="AH139" s="233" t="s">
        <v>59</v>
      </c>
      <c r="AI139" s="233" t="s">
        <v>59</v>
      </c>
      <c r="AJ139" s="233" t="s">
        <v>59</v>
      </c>
      <c r="AK139" s="233" t="s">
        <v>59</v>
      </c>
      <c r="AL139" s="233" t="s">
        <v>59</v>
      </c>
      <c r="AM139" s="233" t="s">
        <v>59</v>
      </c>
      <c r="AN139" s="233" t="s">
        <v>59</v>
      </c>
      <c r="AO139" s="241"/>
      <c r="AP139" s="241"/>
      <c r="AQ139" s="242"/>
      <c r="AR139" s="238" t="s">
        <v>59</v>
      </c>
      <c r="AS139" s="238" t="s">
        <v>59</v>
      </c>
      <c r="AT139" s="238" t="s">
        <v>59</v>
      </c>
      <c r="AU139" s="238" t="s">
        <v>59</v>
      </c>
      <c r="AV139" s="238" t="s">
        <v>59</v>
      </c>
      <c r="AW139" s="238" t="s">
        <v>59</v>
      </c>
      <c r="AX139" s="241"/>
      <c r="AY139" s="241"/>
      <c r="AZ139" s="242"/>
    </row>
    <row r="140" spans="1:52" x14ac:dyDescent="0.25">
      <c r="A140" t="s">
        <v>253</v>
      </c>
    </row>
    <row r="141" spans="1:52" x14ac:dyDescent="0.25">
      <c r="B141" s="39" t="s">
        <v>282</v>
      </c>
      <c r="C141" s="43" t="s">
        <v>283</v>
      </c>
      <c r="D141" s="26">
        <v>44598</v>
      </c>
      <c r="E141" s="26">
        <v>44612</v>
      </c>
      <c r="F141" s="243" t="s">
        <v>53</v>
      </c>
      <c r="G141" s="243" t="s">
        <v>55</v>
      </c>
      <c r="H141" s="243" t="s">
        <v>55</v>
      </c>
      <c r="I141" s="43" t="s">
        <v>284</v>
      </c>
      <c r="J141" s="39" t="s">
        <v>285</v>
      </c>
      <c r="K141" s="244" t="s">
        <v>286</v>
      </c>
      <c r="L141" s="245" t="s">
        <v>59</v>
      </c>
      <c r="M141" s="245" t="s">
        <v>59</v>
      </c>
      <c r="N141" s="245" t="s">
        <v>59</v>
      </c>
      <c r="O141" s="245" t="s">
        <v>59</v>
      </c>
      <c r="P141" s="245" t="s">
        <v>59</v>
      </c>
      <c r="Q141" s="245" t="s">
        <v>59</v>
      </c>
      <c r="R141" s="245" t="s">
        <v>59</v>
      </c>
      <c r="S141" s="245" t="s">
        <v>59</v>
      </c>
      <c r="T141" s="245" t="s">
        <v>59</v>
      </c>
      <c r="U141" s="245" t="s">
        <v>59</v>
      </c>
      <c r="V141" s="246">
        <f>ROUND(AO141*1000/AL141,0)</f>
        <v>14757615</v>
      </c>
      <c r="W141" s="246">
        <v>15655466</v>
      </c>
      <c r="X141" s="247">
        <f>W141/V141</f>
        <v>1.060839844378648</v>
      </c>
      <c r="Y141" s="247" t="s">
        <v>59</v>
      </c>
      <c r="Z141" s="247" t="s">
        <v>59</v>
      </c>
      <c r="AA141" s="247" t="s">
        <v>59</v>
      </c>
      <c r="AB141" s="247" t="s">
        <v>59</v>
      </c>
      <c r="AC141" s="247" t="s">
        <v>59</v>
      </c>
      <c r="AD141" s="247" t="s">
        <v>59</v>
      </c>
      <c r="AE141" s="247" t="s">
        <v>59</v>
      </c>
      <c r="AF141" s="247" t="s">
        <v>59</v>
      </c>
      <c r="AG141" s="247" t="s">
        <v>59</v>
      </c>
      <c r="AH141" s="247" t="s">
        <v>59</v>
      </c>
      <c r="AI141" s="247" t="s">
        <v>59</v>
      </c>
      <c r="AJ141" s="247" t="s">
        <v>59</v>
      </c>
      <c r="AK141" s="247" t="s">
        <v>60</v>
      </c>
      <c r="AL141" s="225">
        <v>291.375</v>
      </c>
      <c r="AM141" s="225">
        <f>AP141/W141*1000</f>
        <v>274.66445265826007</v>
      </c>
      <c r="AN141" s="247">
        <f>AM141/AL141</f>
        <v>0.9426493441724928</v>
      </c>
      <c r="AO141" s="205">
        <f>43*10^5</f>
        <v>4300000</v>
      </c>
      <c r="AP141" s="205">
        <v>4300000</v>
      </c>
      <c r="AQ141" s="41">
        <f>AP141/AO141</f>
        <v>1</v>
      </c>
      <c r="AR141" s="41" t="s">
        <v>59</v>
      </c>
      <c r="AS141" s="41" t="s">
        <v>59</v>
      </c>
      <c r="AT141" s="41" t="s">
        <v>59</v>
      </c>
      <c r="AU141" s="41" t="s">
        <v>59</v>
      </c>
      <c r="AV141" s="41" t="s">
        <v>59</v>
      </c>
      <c r="AW141" s="41" t="s">
        <v>59</v>
      </c>
      <c r="AX141" s="248">
        <f>AO141</f>
        <v>4300000</v>
      </c>
      <c r="AY141" s="248">
        <f>AP141</f>
        <v>4300000</v>
      </c>
      <c r="AZ141" s="41">
        <f>AQ141</f>
        <v>1</v>
      </c>
    </row>
    <row r="142" spans="1:52" ht="25.5" x14ac:dyDescent="0.25">
      <c r="B142" s="39" t="s">
        <v>282</v>
      </c>
      <c r="C142" s="43" t="s">
        <v>283</v>
      </c>
      <c r="D142" s="26">
        <v>44598</v>
      </c>
      <c r="E142" s="26">
        <v>44612</v>
      </c>
      <c r="F142" s="243" t="s">
        <v>53</v>
      </c>
      <c r="G142" s="243" t="s">
        <v>55</v>
      </c>
      <c r="H142" s="243" t="s">
        <v>55</v>
      </c>
      <c r="I142" s="45" t="s">
        <v>287</v>
      </c>
      <c r="J142" s="39" t="s">
        <v>285</v>
      </c>
      <c r="K142" s="244" t="s">
        <v>286</v>
      </c>
      <c r="L142" s="245" t="s">
        <v>59</v>
      </c>
      <c r="M142" s="245" t="s">
        <v>59</v>
      </c>
      <c r="N142" s="245" t="s">
        <v>59</v>
      </c>
      <c r="O142" s="245" t="s">
        <v>59</v>
      </c>
      <c r="P142" s="245" t="s">
        <v>59</v>
      </c>
      <c r="Q142" s="245" t="s">
        <v>59</v>
      </c>
      <c r="R142" s="245" t="s">
        <v>59</v>
      </c>
      <c r="S142" s="245" t="s">
        <v>59</v>
      </c>
      <c r="T142" s="245" t="s">
        <v>59</v>
      </c>
      <c r="U142" s="245" t="s">
        <v>59</v>
      </c>
      <c r="V142" s="246">
        <f>ROUND(AO142*1000/AL142,0)</f>
        <v>2982456</v>
      </c>
      <c r="W142" s="246">
        <v>3261029</v>
      </c>
      <c r="X142" s="247">
        <f t="shared" ref="X142:X143" si="235">W142/V142</f>
        <v>1.0934038926307714</v>
      </c>
      <c r="Y142" s="247" t="s">
        <v>59</v>
      </c>
      <c r="Z142" s="247" t="s">
        <v>59</v>
      </c>
      <c r="AA142" s="247" t="s">
        <v>59</v>
      </c>
      <c r="AB142" s="247" t="s">
        <v>59</v>
      </c>
      <c r="AC142" s="247" t="s">
        <v>59</v>
      </c>
      <c r="AD142" s="247" t="s">
        <v>59</v>
      </c>
      <c r="AE142" s="247" t="s">
        <v>59</v>
      </c>
      <c r="AF142" s="247" t="s">
        <v>59</v>
      </c>
      <c r="AG142" s="247" t="s">
        <v>59</v>
      </c>
      <c r="AH142" s="247" t="s">
        <v>59</v>
      </c>
      <c r="AI142" s="247" t="s">
        <v>59</v>
      </c>
      <c r="AJ142" s="247" t="s">
        <v>59</v>
      </c>
      <c r="AK142" s="247" t="s">
        <v>60</v>
      </c>
      <c r="AL142" s="225">
        <v>570</v>
      </c>
      <c r="AM142" s="225">
        <f>AP142/W142*1000</f>
        <v>521.30784485510549</v>
      </c>
      <c r="AN142" s="247">
        <f t="shared" ref="AN142:AN143" si="236">AM142/AL142</f>
        <v>0.91457516641246572</v>
      </c>
      <c r="AO142" s="205">
        <v>1700000</v>
      </c>
      <c r="AP142" s="205">
        <v>1700000</v>
      </c>
      <c r="AQ142" s="41">
        <f t="shared" ref="AQ142:AQ143" si="237">AP142/AO142</f>
        <v>1</v>
      </c>
      <c r="AR142" s="41" t="s">
        <v>59</v>
      </c>
      <c r="AS142" s="41" t="s">
        <v>59</v>
      </c>
      <c r="AT142" s="41" t="s">
        <v>59</v>
      </c>
      <c r="AU142" s="41" t="s">
        <v>59</v>
      </c>
      <c r="AV142" s="41" t="s">
        <v>59</v>
      </c>
      <c r="AW142" s="41" t="s">
        <v>59</v>
      </c>
      <c r="AX142" s="248">
        <f t="shared" ref="AX142:AZ143" si="238">AO142</f>
        <v>1700000</v>
      </c>
      <c r="AY142" s="248">
        <f t="shared" si="238"/>
        <v>1700000</v>
      </c>
      <c r="AZ142" s="41">
        <f t="shared" si="238"/>
        <v>1</v>
      </c>
    </row>
    <row r="143" spans="1:52" ht="25.5" x14ac:dyDescent="0.25">
      <c r="A143" t="s">
        <v>265</v>
      </c>
      <c r="B143" s="39" t="s">
        <v>282</v>
      </c>
      <c r="C143" s="43" t="s">
        <v>283</v>
      </c>
      <c r="D143" s="26">
        <v>44598</v>
      </c>
      <c r="E143" s="26">
        <v>44612</v>
      </c>
      <c r="F143" s="243" t="s">
        <v>53</v>
      </c>
      <c r="G143" s="243" t="s">
        <v>55</v>
      </c>
      <c r="H143" s="243" t="s">
        <v>55</v>
      </c>
      <c r="I143" s="45" t="s">
        <v>288</v>
      </c>
      <c r="J143" s="39" t="s">
        <v>289</v>
      </c>
      <c r="K143" s="244" t="s">
        <v>286</v>
      </c>
      <c r="L143" s="245" t="s">
        <v>59</v>
      </c>
      <c r="M143" s="245" t="s">
        <v>59</v>
      </c>
      <c r="N143" s="245" t="s">
        <v>59</v>
      </c>
      <c r="O143" s="245" t="s">
        <v>59</v>
      </c>
      <c r="P143" s="245" t="s">
        <v>59</v>
      </c>
      <c r="Q143" s="245" t="s">
        <v>59</v>
      </c>
      <c r="R143" s="245" t="s">
        <v>59</v>
      </c>
      <c r="S143" s="245" t="s">
        <v>59</v>
      </c>
      <c r="T143" s="245" t="s">
        <v>59</v>
      </c>
      <c r="U143" s="245" t="s">
        <v>59</v>
      </c>
      <c r="V143" s="246">
        <f>ROUND(AO143*1000/AL143,0)</f>
        <v>4600345</v>
      </c>
      <c r="W143" s="246">
        <v>4864942</v>
      </c>
      <c r="X143" s="247">
        <f t="shared" si="235"/>
        <v>1.0575167731985318</v>
      </c>
      <c r="Y143" s="247" t="s">
        <v>59</v>
      </c>
      <c r="Z143" s="247" t="s">
        <v>59</v>
      </c>
      <c r="AA143" s="247" t="s">
        <v>59</v>
      </c>
      <c r="AB143" s="247" t="s">
        <v>59</v>
      </c>
      <c r="AC143" s="247" t="s">
        <v>59</v>
      </c>
      <c r="AD143" s="247" t="s">
        <v>59</v>
      </c>
      <c r="AE143" s="247" t="s">
        <v>59</v>
      </c>
      <c r="AF143" s="247" t="s">
        <v>59</v>
      </c>
      <c r="AG143" s="247" t="s">
        <v>59</v>
      </c>
      <c r="AH143" s="247" t="s">
        <v>59</v>
      </c>
      <c r="AI143" s="247" t="s">
        <v>59</v>
      </c>
      <c r="AJ143" s="247" t="s">
        <v>59</v>
      </c>
      <c r="AK143" s="247" t="s">
        <v>60</v>
      </c>
      <c r="AL143" s="225">
        <v>217.375</v>
      </c>
      <c r="AM143" s="225">
        <f>AP143/W143*1000</f>
        <v>205.55229640970026</v>
      </c>
      <c r="AN143" s="247">
        <f t="shared" si="236"/>
        <v>0.94561148434594711</v>
      </c>
      <c r="AO143" s="205">
        <f>10*10^5</f>
        <v>1000000</v>
      </c>
      <c r="AP143" s="205">
        <v>1000000</v>
      </c>
      <c r="AQ143" s="41">
        <f t="shared" si="237"/>
        <v>1</v>
      </c>
      <c r="AR143" s="41" t="s">
        <v>59</v>
      </c>
      <c r="AS143" s="41" t="s">
        <v>59</v>
      </c>
      <c r="AT143" s="41" t="s">
        <v>59</v>
      </c>
      <c r="AU143" s="41" t="s">
        <v>59</v>
      </c>
      <c r="AV143" s="41" t="s">
        <v>59</v>
      </c>
      <c r="AW143" s="41" t="s">
        <v>59</v>
      </c>
      <c r="AX143" s="248">
        <f t="shared" si="238"/>
        <v>1000000</v>
      </c>
      <c r="AY143" s="248">
        <f t="shared" si="238"/>
        <v>1000000</v>
      </c>
      <c r="AZ143" s="41">
        <f t="shared" si="238"/>
        <v>1</v>
      </c>
    </row>
    <row r="145" spans="1:52" ht="51" x14ac:dyDescent="0.25">
      <c r="B145" s="203" t="s">
        <v>172</v>
      </c>
      <c r="C145" s="29" t="s">
        <v>291</v>
      </c>
      <c r="D145" s="249">
        <v>44593</v>
      </c>
      <c r="E145" s="249">
        <v>44620</v>
      </c>
      <c r="F145" s="250" t="s">
        <v>111</v>
      </c>
      <c r="G145" s="251" t="s">
        <v>292</v>
      </c>
      <c r="H145" s="45" t="s">
        <v>248</v>
      </c>
      <c r="I145" s="252" t="s">
        <v>293</v>
      </c>
      <c r="J145" s="252" t="s">
        <v>250</v>
      </c>
      <c r="K145" s="252" t="s">
        <v>111</v>
      </c>
      <c r="L145" s="67">
        <v>9600000</v>
      </c>
      <c r="M145" s="253">
        <v>0.65</v>
      </c>
      <c r="N145" s="49">
        <f>Q145/L145</f>
        <v>0.66693875000000002</v>
      </c>
      <c r="O145" s="220">
        <f>N145/M145</f>
        <v>1.0260596153846153</v>
      </c>
      <c r="P145" s="68">
        <f>M145*L145</f>
        <v>6240000</v>
      </c>
      <c r="Q145" s="68">
        <v>6402612</v>
      </c>
      <c r="R145" s="220">
        <f>Q145/P145</f>
        <v>1.0260596153846153</v>
      </c>
      <c r="S145" s="69">
        <v>6.1</v>
      </c>
      <c r="T145" s="69">
        <f>W145/Q145</f>
        <v>5.8879029371137905</v>
      </c>
      <c r="U145" s="220">
        <f>T145/S145</f>
        <v>0.96522998969078544</v>
      </c>
      <c r="V145" s="68">
        <f t="shared" ref="V145:V147" si="239">P145*S145</f>
        <v>38064000</v>
      </c>
      <c r="W145" s="68">
        <v>37697958</v>
      </c>
      <c r="X145" s="220">
        <f>W145/V145</f>
        <v>0.99038351197982344</v>
      </c>
      <c r="Y145" s="68">
        <f>AB145*V145</f>
        <v>190320</v>
      </c>
      <c r="Z145" s="68">
        <v>217000</v>
      </c>
      <c r="AA145" s="220">
        <f>Z145/Y145</f>
        <v>1.1401849516603615</v>
      </c>
      <c r="AB145" s="254">
        <v>5.0000000000000001E-3</v>
      </c>
      <c r="AC145" s="254">
        <f>Z145/W145</f>
        <v>5.7562799555349918E-3</v>
      </c>
      <c r="AD145" s="220">
        <f>AC145/AB145</f>
        <v>1.1512559911069984</v>
      </c>
      <c r="AE145" s="220" t="s">
        <v>59</v>
      </c>
      <c r="AF145" s="205">
        <v>2972185</v>
      </c>
      <c r="AG145" s="220" t="s">
        <v>59</v>
      </c>
      <c r="AH145" s="220" t="s">
        <v>59</v>
      </c>
      <c r="AI145" s="220">
        <f>AF145/W145</f>
        <v>7.884206884627544E-2</v>
      </c>
      <c r="AJ145" s="220" t="s">
        <v>59</v>
      </c>
      <c r="AK145" s="253" t="s">
        <v>60</v>
      </c>
      <c r="AL145" s="255">
        <f>51*107%</f>
        <v>54.57</v>
      </c>
      <c r="AM145" s="255">
        <f>AP145/W145*1000</f>
        <v>52.899995007687153</v>
      </c>
      <c r="AN145" s="220">
        <f>AM145/AL145</f>
        <v>0.96939701315167959</v>
      </c>
      <c r="AO145" s="82">
        <f>AL145*V145/1000</f>
        <v>2077152.48</v>
      </c>
      <c r="AP145" s="82">
        <v>1994221.79</v>
      </c>
      <c r="AQ145" s="220">
        <f>AP145/AO145</f>
        <v>0.96007481838791153</v>
      </c>
      <c r="AR145" s="220" t="s">
        <v>59</v>
      </c>
      <c r="AS145" s="220" t="s">
        <v>59</v>
      </c>
      <c r="AT145" s="220" t="s">
        <v>59</v>
      </c>
      <c r="AU145" s="220" t="s">
        <v>59</v>
      </c>
      <c r="AV145" s="220" t="s">
        <v>59</v>
      </c>
      <c r="AW145" s="220" t="s">
        <v>59</v>
      </c>
      <c r="AX145" s="82">
        <f t="shared" ref="AX145" si="240">AO145</f>
        <v>2077152.48</v>
      </c>
      <c r="AY145" s="82">
        <f>AP145</f>
        <v>1994221.79</v>
      </c>
      <c r="AZ145" s="220">
        <f>AY145/AX145</f>
        <v>0.96007481838791153</v>
      </c>
    </row>
    <row r="146" spans="1:52" ht="25.5" x14ac:dyDescent="0.25">
      <c r="B146" s="203" t="s">
        <v>294</v>
      </c>
      <c r="C146" s="29" t="s">
        <v>291</v>
      </c>
      <c r="D146" s="249">
        <v>44593</v>
      </c>
      <c r="E146" s="249">
        <v>44620</v>
      </c>
      <c r="F146" s="250" t="s">
        <v>111</v>
      </c>
      <c r="G146" s="251" t="s">
        <v>295</v>
      </c>
      <c r="H146" s="45" t="s">
        <v>248</v>
      </c>
      <c r="I146" s="252" t="s">
        <v>293</v>
      </c>
      <c r="J146" s="252" t="s">
        <v>250</v>
      </c>
      <c r="K146" s="252" t="s">
        <v>111</v>
      </c>
      <c r="L146" s="67">
        <v>23800000</v>
      </c>
      <c r="M146" s="253">
        <v>0.65</v>
      </c>
      <c r="N146" s="49">
        <f>Q146/L146</f>
        <v>0.64307764705882353</v>
      </c>
      <c r="O146" s="220">
        <f t="shared" ref="O146:O147" si="241">N146/M146</f>
        <v>0.98935022624434388</v>
      </c>
      <c r="P146" s="68">
        <f>M146*L146</f>
        <v>15470000</v>
      </c>
      <c r="Q146" s="68">
        <v>15305248</v>
      </c>
      <c r="R146" s="220">
        <f t="shared" ref="R146:R147" si="242">Q146/P146</f>
        <v>0.98935022624434388</v>
      </c>
      <c r="S146" s="69">
        <v>6</v>
      </c>
      <c r="T146" s="69">
        <f t="shared" ref="T146:T147" si="243">W146/Q146</f>
        <v>5.7377466212896389</v>
      </c>
      <c r="U146" s="220">
        <f t="shared" ref="U146:U147" si="244">T146/S146</f>
        <v>0.95629110354827318</v>
      </c>
      <c r="V146" s="68">
        <f t="shared" si="239"/>
        <v>92820000</v>
      </c>
      <c r="W146" s="68">
        <v>87817635</v>
      </c>
      <c r="X146" s="220">
        <f t="shared" ref="X146:X147" si="245">W146/V146</f>
        <v>0.94610681965093735</v>
      </c>
      <c r="Y146" s="68">
        <f>AB146*V146</f>
        <v>46410</v>
      </c>
      <c r="Z146" s="68">
        <v>72068</v>
      </c>
      <c r="AA146" s="220">
        <f t="shared" ref="AA146:AA147" si="246">Z146/Y146</f>
        <v>1.5528549881491058</v>
      </c>
      <c r="AB146" s="254">
        <v>5.0000000000000001E-4</v>
      </c>
      <c r="AC146" s="254">
        <f t="shared" ref="AC146:AC147" si="247">Z146/W146</f>
        <v>8.2065521350011309E-4</v>
      </c>
      <c r="AD146" s="220">
        <f t="shared" ref="AD146:AD147" si="248">AC146/AB146</f>
        <v>1.6413104270002261</v>
      </c>
      <c r="AE146" s="220" t="s">
        <v>59</v>
      </c>
      <c r="AF146" s="205">
        <v>4821109</v>
      </c>
      <c r="AG146" s="220" t="s">
        <v>59</v>
      </c>
      <c r="AH146" s="220" t="s">
        <v>59</v>
      </c>
      <c r="AI146" s="220">
        <f t="shared" ref="AI146:AI147" si="249">AF146/W146</f>
        <v>5.4899098569438816E-2</v>
      </c>
      <c r="AJ146" s="220" t="s">
        <v>59</v>
      </c>
      <c r="AK146" s="253" t="s">
        <v>60</v>
      </c>
      <c r="AL146" s="255">
        <f>37*107%</f>
        <v>39.590000000000003</v>
      </c>
      <c r="AM146" s="255">
        <f t="shared" ref="AM146:AM147" si="250">AP146/W146*1000</f>
        <v>41.839997626900342</v>
      </c>
      <c r="AN146" s="220">
        <f t="shared" ref="AN146:AN147" si="251">AM146/AL146</f>
        <v>1.0568324735261516</v>
      </c>
      <c r="AO146" s="82">
        <f>AL146*V146/1000</f>
        <v>3674743.8000000003</v>
      </c>
      <c r="AP146" s="82">
        <v>3674289.64</v>
      </c>
      <c r="AQ146" s="220">
        <f t="shared" ref="AQ146:AQ147" si="252">AP146/AO146</f>
        <v>0.99987641043166053</v>
      </c>
      <c r="AR146" s="220" t="s">
        <v>59</v>
      </c>
      <c r="AS146" s="220" t="s">
        <v>59</v>
      </c>
      <c r="AT146" s="220" t="s">
        <v>59</v>
      </c>
      <c r="AU146" s="220" t="s">
        <v>59</v>
      </c>
      <c r="AV146" s="220" t="s">
        <v>59</v>
      </c>
      <c r="AW146" s="220" t="s">
        <v>59</v>
      </c>
      <c r="AX146" s="82">
        <f>AO146</f>
        <v>3674743.8000000003</v>
      </c>
      <c r="AY146" s="82">
        <f>AP146</f>
        <v>3674289.64</v>
      </c>
      <c r="AZ146" s="220">
        <f t="shared" ref="AZ146:AZ147" si="253">AY146/AX146</f>
        <v>0.99987641043166053</v>
      </c>
    </row>
    <row r="147" spans="1:52" ht="51" x14ac:dyDescent="0.25">
      <c r="B147" s="203" t="s">
        <v>172</v>
      </c>
      <c r="C147" s="29" t="s">
        <v>291</v>
      </c>
      <c r="D147" s="249">
        <v>44593</v>
      </c>
      <c r="E147" s="249">
        <v>44620</v>
      </c>
      <c r="F147" s="250" t="s">
        <v>111</v>
      </c>
      <c r="G147" s="251" t="s">
        <v>296</v>
      </c>
      <c r="H147" s="45" t="s">
        <v>297</v>
      </c>
      <c r="I147" s="252" t="s">
        <v>293</v>
      </c>
      <c r="J147" s="252" t="s">
        <v>250</v>
      </c>
      <c r="K147" s="252" t="s">
        <v>111</v>
      </c>
      <c r="L147" s="67">
        <v>26100000</v>
      </c>
      <c r="M147" s="253">
        <v>0.6</v>
      </c>
      <c r="N147" s="49">
        <f>Q147/L147</f>
        <v>0.37796137931034485</v>
      </c>
      <c r="O147" s="220">
        <f t="shared" si="241"/>
        <v>0.62993563218390813</v>
      </c>
      <c r="P147" s="68">
        <f>M147*L147</f>
        <v>15660000</v>
      </c>
      <c r="Q147" s="68">
        <v>9864792</v>
      </c>
      <c r="R147" s="220">
        <f t="shared" si="242"/>
        <v>0.62993563218390802</v>
      </c>
      <c r="S147" s="69">
        <v>6</v>
      </c>
      <c r="T147" s="69">
        <f t="shared" si="243"/>
        <v>6.3063883151312261</v>
      </c>
      <c r="U147" s="220">
        <f t="shared" si="244"/>
        <v>1.0510647191885376</v>
      </c>
      <c r="V147" s="68">
        <f t="shared" si="239"/>
        <v>93960000</v>
      </c>
      <c r="W147" s="68">
        <v>62211209</v>
      </c>
      <c r="X147" s="220">
        <f t="shared" si="245"/>
        <v>0.66210311834823332</v>
      </c>
      <c r="Y147" s="68">
        <f>AB147*V147</f>
        <v>300672</v>
      </c>
      <c r="Z147" s="68">
        <v>187416</v>
      </c>
      <c r="AA147" s="220">
        <f t="shared" si="246"/>
        <v>0.62332375478927204</v>
      </c>
      <c r="AB147" s="254">
        <v>3.2000000000000002E-3</v>
      </c>
      <c r="AC147" s="254">
        <f t="shared" si="247"/>
        <v>3.0125760777290149E-3</v>
      </c>
      <c r="AD147" s="220">
        <f t="shared" si="248"/>
        <v>0.94143002429031708</v>
      </c>
      <c r="AE147" s="220" t="s">
        <v>59</v>
      </c>
      <c r="AF147" s="205">
        <v>2920287</v>
      </c>
      <c r="AG147" s="220" t="s">
        <v>59</v>
      </c>
      <c r="AH147" s="220" t="s">
        <v>59</v>
      </c>
      <c r="AI147" s="220">
        <f t="shared" si="249"/>
        <v>4.6941492488917873E-2</v>
      </c>
      <c r="AJ147" s="220" t="s">
        <v>59</v>
      </c>
      <c r="AK147" s="253" t="s">
        <v>60</v>
      </c>
      <c r="AL147" s="255">
        <f>29*107%</f>
        <v>31.03</v>
      </c>
      <c r="AM147" s="255">
        <f t="shared" si="250"/>
        <v>32.909996332011488</v>
      </c>
      <c r="AN147" s="220">
        <f t="shared" si="251"/>
        <v>1.0605864109575085</v>
      </c>
      <c r="AO147" s="82">
        <f>AL147*V147/1000</f>
        <v>2915578.8</v>
      </c>
      <c r="AP147" s="82">
        <v>2047370.66</v>
      </c>
      <c r="AQ147" s="220">
        <f t="shared" si="252"/>
        <v>0.70221756997272722</v>
      </c>
      <c r="AR147" s="220" t="s">
        <v>59</v>
      </c>
      <c r="AS147" s="220" t="s">
        <v>59</v>
      </c>
      <c r="AT147" s="220" t="s">
        <v>59</v>
      </c>
      <c r="AU147" s="220" t="s">
        <v>59</v>
      </c>
      <c r="AV147" s="220" t="s">
        <v>59</v>
      </c>
      <c r="AW147" s="220" t="s">
        <v>59</v>
      </c>
      <c r="AX147" s="82">
        <f t="shared" ref="AX147" si="254">AO147</f>
        <v>2915578.8</v>
      </c>
      <c r="AY147" s="82">
        <f>AP147</f>
        <v>2047370.66</v>
      </c>
      <c r="AZ147" s="220">
        <f t="shared" si="253"/>
        <v>0.70221756997272722</v>
      </c>
    </row>
    <row r="149" spans="1:52" ht="25.5" x14ac:dyDescent="0.25">
      <c r="A149" t="s">
        <v>275</v>
      </c>
      <c r="B149" s="29" t="s">
        <v>299</v>
      </c>
      <c r="C149" s="29" t="s">
        <v>232</v>
      </c>
      <c r="D149" s="232">
        <v>44615</v>
      </c>
      <c r="E149" s="232">
        <v>44621</v>
      </c>
      <c r="F149" s="29" t="s">
        <v>277</v>
      </c>
      <c r="G149" s="232" t="s">
        <v>300</v>
      </c>
      <c r="H149" s="232" t="s">
        <v>279</v>
      </c>
      <c r="I149" s="232" t="s">
        <v>158</v>
      </c>
      <c r="J149" s="232" t="s">
        <v>59</v>
      </c>
      <c r="K149" s="29" t="s">
        <v>280</v>
      </c>
      <c r="L149" s="75">
        <v>3000000</v>
      </c>
      <c r="M149" s="29">
        <v>7</v>
      </c>
      <c r="N149" s="256" t="s">
        <v>59</v>
      </c>
      <c r="O149" s="29" t="s">
        <v>59</v>
      </c>
      <c r="P149" s="256" t="s">
        <v>59</v>
      </c>
      <c r="Q149" s="256" t="s">
        <v>59</v>
      </c>
      <c r="R149" s="256" t="s">
        <v>59</v>
      </c>
      <c r="S149" s="256" t="s">
        <v>59</v>
      </c>
      <c r="T149" s="256" t="s">
        <v>59</v>
      </c>
      <c r="U149" s="29" t="s">
        <v>59</v>
      </c>
      <c r="V149" s="75">
        <v>5454545</v>
      </c>
      <c r="W149" s="75">
        <v>5455082</v>
      </c>
      <c r="X149" s="257">
        <f>W149/V149</f>
        <v>1.0000984500082042</v>
      </c>
      <c r="Y149" s="257" t="s">
        <v>59</v>
      </c>
      <c r="Z149" s="75">
        <v>37341</v>
      </c>
      <c r="AA149" s="257" t="s">
        <v>59</v>
      </c>
      <c r="AB149" s="258">
        <v>7.0000000000000001E-3</v>
      </c>
      <c r="AC149" s="258">
        <f>Z149/W149</f>
        <v>6.8451766627889371E-3</v>
      </c>
      <c r="AD149" s="258">
        <f>AC149/AB149</f>
        <v>0.97788238039841957</v>
      </c>
      <c r="AE149" s="257" t="s">
        <v>59</v>
      </c>
      <c r="AF149" s="257" t="s">
        <v>59</v>
      </c>
      <c r="AG149" s="257" t="s">
        <v>59</v>
      </c>
      <c r="AH149" s="257" t="s">
        <v>59</v>
      </c>
      <c r="AI149" s="257" t="s">
        <v>59</v>
      </c>
      <c r="AJ149" s="257" t="s">
        <v>59</v>
      </c>
      <c r="AK149" s="29" t="s">
        <v>60</v>
      </c>
      <c r="AL149" s="259">
        <v>275</v>
      </c>
      <c r="AM149" s="29">
        <v>275</v>
      </c>
      <c r="AN149" s="257">
        <f>AM149/AL149</f>
        <v>1</v>
      </c>
      <c r="AO149" s="82">
        <v>1500000</v>
      </c>
      <c r="AP149" s="82">
        <v>1500000</v>
      </c>
      <c r="AQ149" s="257">
        <f>AP149/AO149</f>
        <v>1</v>
      </c>
      <c r="AR149" s="254">
        <f>AU149/AO149</f>
        <v>3.5000000000000003E-2</v>
      </c>
      <c r="AS149" s="254">
        <f>AV149/AP149</f>
        <v>3.5000000000000003E-2</v>
      </c>
      <c r="AT149" s="257">
        <f>AS149/AR149</f>
        <v>1</v>
      </c>
      <c r="AU149" s="82">
        <f>AX149-AO149</f>
        <v>52500</v>
      </c>
      <c r="AV149" s="259">
        <f>AR149*AP149</f>
        <v>52500.000000000007</v>
      </c>
      <c r="AW149" s="257">
        <f>AV149/AU149</f>
        <v>1.0000000000000002</v>
      </c>
      <c r="AX149" s="82">
        <v>1552500</v>
      </c>
      <c r="AY149" s="82">
        <f>AV149+AP149</f>
        <v>1552500</v>
      </c>
      <c r="AZ149" s="257">
        <f>AY149/AX149</f>
        <v>1</v>
      </c>
    </row>
    <row r="158" spans="1:52" x14ac:dyDescent="0.25">
      <c r="A158" t="s">
        <v>281</v>
      </c>
    </row>
    <row r="162" spans="1:1" x14ac:dyDescent="0.25">
      <c r="A162" t="s">
        <v>290</v>
      </c>
    </row>
    <row r="166" spans="1:1" x14ac:dyDescent="0.25">
      <c r="A166" t="s">
        <v>298</v>
      </c>
    </row>
    <row r="170" spans="1:1" x14ac:dyDescent="0.25">
      <c r="A170" t="s">
        <v>301</v>
      </c>
    </row>
  </sheetData>
  <autoFilter ref="A1:BI1"/>
  <mergeCells count="116">
    <mergeCell ref="AY137:AY139"/>
    <mergeCell ref="AZ137:AZ139"/>
    <mergeCell ref="T58:T59"/>
    <mergeCell ref="U58:U59"/>
    <mergeCell ref="AO122:AO126"/>
    <mergeCell ref="AX122:AX126"/>
    <mergeCell ref="AO137:AO139"/>
    <mergeCell ref="AP137:AP139"/>
    <mergeCell ref="AQ137:AQ139"/>
    <mergeCell ref="AX137:AX139"/>
    <mergeCell ref="T56:T57"/>
    <mergeCell ref="U56:U57"/>
    <mergeCell ref="L58:L59"/>
    <mergeCell ref="M58:M59"/>
    <mergeCell ref="N58:N59"/>
    <mergeCell ref="O58:O59"/>
    <mergeCell ref="P58:P59"/>
    <mergeCell ref="Q58:Q59"/>
    <mergeCell ref="R58:R59"/>
    <mergeCell ref="S58:S59"/>
    <mergeCell ref="T54:T55"/>
    <mergeCell ref="U54:U55"/>
    <mergeCell ref="L56:L57"/>
    <mergeCell ref="M56:M57"/>
    <mergeCell ref="N56:N57"/>
    <mergeCell ref="O56:O57"/>
    <mergeCell ref="P56:P57"/>
    <mergeCell ref="Q56:Q57"/>
    <mergeCell ref="R56:R57"/>
    <mergeCell ref="S56:S57"/>
    <mergeCell ref="T52:T53"/>
    <mergeCell ref="U52:U53"/>
    <mergeCell ref="L54:L55"/>
    <mergeCell ref="M54:M55"/>
    <mergeCell ref="N54:N55"/>
    <mergeCell ref="O54:O55"/>
    <mergeCell ref="P54:P55"/>
    <mergeCell ref="Q54:Q55"/>
    <mergeCell ref="R54:R55"/>
    <mergeCell ref="S54:S55"/>
    <mergeCell ref="T50:T51"/>
    <mergeCell ref="U50:U51"/>
    <mergeCell ref="L52:L53"/>
    <mergeCell ref="M52:M53"/>
    <mergeCell ref="N52:N53"/>
    <mergeCell ref="O52:O53"/>
    <mergeCell ref="P52:P53"/>
    <mergeCell ref="Q52:Q53"/>
    <mergeCell ref="R52:R53"/>
    <mergeCell ref="S52:S53"/>
    <mergeCell ref="T48:T49"/>
    <mergeCell ref="U48:U49"/>
    <mergeCell ref="L50:L51"/>
    <mergeCell ref="M50:M51"/>
    <mergeCell ref="N50:N51"/>
    <mergeCell ref="O50:O51"/>
    <mergeCell ref="P50:P51"/>
    <mergeCell ref="Q50:Q51"/>
    <mergeCell ref="R50:R51"/>
    <mergeCell ref="S50:S51"/>
    <mergeCell ref="T46:T47"/>
    <mergeCell ref="U46:U47"/>
    <mergeCell ref="L48:L49"/>
    <mergeCell ref="M48:M49"/>
    <mergeCell ref="N48:N49"/>
    <mergeCell ref="O48:O49"/>
    <mergeCell ref="P48:P49"/>
    <mergeCell ref="Q48:Q49"/>
    <mergeCell ref="R48:R49"/>
    <mergeCell ref="S48:S49"/>
    <mergeCell ref="T44:T45"/>
    <mergeCell ref="U44:U45"/>
    <mergeCell ref="L46:L47"/>
    <mergeCell ref="M46:M47"/>
    <mergeCell ref="N46:N47"/>
    <mergeCell ref="O46:O47"/>
    <mergeCell ref="P46:P47"/>
    <mergeCell ref="Q46:Q47"/>
    <mergeCell ref="R46:R47"/>
    <mergeCell ref="S46:S47"/>
    <mergeCell ref="S42:S43"/>
    <mergeCell ref="T42:T43"/>
    <mergeCell ref="U42:U43"/>
    <mergeCell ref="L44:L45"/>
    <mergeCell ref="M44:M45"/>
    <mergeCell ref="N44:N45"/>
    <mergeCell ref="P44:P45"/>
    <mergeCell ref="Q44:Q45"/>
    <mergeCell ref="R44:R45"/>
    <mergeCell ref="S44:S45"/>
    <mergeCell ref="R40:R41"/>
    <mergeCell ref="S40:S41"/>
    <mergeCell ref="T40:T41"/>
    <mergeCell ref="U40:U41"/>
    <mergeCell ref="L42:L43"/>
    <mergeCell ref="M42:M43"/>
    <mergeCell ref="N42:N43"/>
    <mergeCell ref="P42:P43"/>
    <mergeCell ref="Q42:Q43"/>
    <mergeCell ref="R42:R43"/>
    <mergeCell ref="R38:R39"/>
    <mergeCell ref="S38:S39"/>
    <mergeCell ref="T38:T39"/>
    <mergeCell ref="U38:U39"/>
    <mergeCell ref="L40:L41"/>
    <mergeCell ref="M40:M41"/>
    <mergeCell ref="N40:N41"/>
    <mergeCell ref="O40:O41"/>
    <mergeCell ref="P40:P41"/>
    <mergeCell ref="Q40:Q41"/>
    <mergeCell ref="L38:L39"/>
    <mergeCell ref="M38:M39"/>
    <mergeCell ref="N38:N39"/>
    <mergeCell ref="O38:O39"/>
    <mergeCell ref="P38:P39"/>
    <mergeCell ref="Q38:Q39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2022-04-07T03:09:49Z</dcterms:modified>
</cp:coreProperties>
</file>